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Q" sheetId="1" r:id="rId3"/>
    <sheet state="visible" name="SoulshotsSpiritshots" sheetId="2" r:id="rId4"/>
  </sheets>
  <definedNames/>
  <calcPr/>
</workbook>
</file>

<file path=xl/sharedStrings.xml><?xml version="1.0" encoding="utf-8"?>
<sst xmlns="http://schemas.openxmlformats.org/spreadsheetml/2006/main" count="129" uniqueCount="96">
  <si>
    <t>Materiał</t>
  </si>
  <si>
    <t>www.altermmo.pl</t>
  </si>
  <si>
    <t>Cena materiału</t>
  </si>
  <si>
    <t>Legenda materiałów</t>
  </si>
  <si>
    <t>Legenda cen</t>
  </si>
  <si>
    <t>SSD</t>
  </si>
  <si>
    <t>BSSD</t>
  </si>
  <si>
    <t>SSC</t>
  </si>
  <si>
    <t>BSSC</t>
  </si>
  <si>
    <t>SSB</t>
  </si>
  <si>
    <t>BSSB</t>
  </si>
  <si>
    <t>Soul Ore</t>
  </si>
  <si>
    <t>Brak materiału</t>
  </si>
  <si>
    <t>Potrzebne materiały</t>
  </si>
  <si>
    <t>Cena sprawdzona</t>
  </si>
  <si>
    <t>http://lineage.pmfun.com</t>
  </si>
  <si>
    <t>Spirit Ore</t>
  </si>
  <si>
    <t>Crystal D</t>
  </si>
  <si>
    <t>Crystal C</t>
  </si>
  <si>
    <t>Cena przypuszczalna</t>
  </si>
  <si>
    <t>Crystal B</t>
  </si>
  <si>
    <t>Crystal A</t>
  </si>
  <si>
    <t>Cena z kosmosu</t>
  </si>
  <si>
    <t>Wybierz receptę</t>
  </si>
  <si>
    <t>Ilość sztuk</t>
  </si>
  <si>
    <t>Koszt many</t>
  </si>
  <si>
    <t>Koszt wyprodukowania 1 sztuki</t>
  </si>
  <si>
    <t>Cena rynkowa</t>
  </si>
  <si>
    <t>Zysk na 1 sztuce</t>
  </si>
  <si>
    <t>Zysk na 1 partii</t>
  </si>
  <si>
    <t>Zysk z 1000 many</t>
  </si>
  <si>
    <t>Aktualizacja 22.03 21:00</t>
  </si>
  <si>
    <t>Bow of Peril 60%</t>
  </si>
  <si>
    <t>Bow of Peril 100%</t>
  </si>
  <si>
    <t>Sword of Valhalla 100%</t>
  </si>
  <si>
    <t>Avadon Robe 100%</t>
  </si>
  <si>
    <t>Avadon Robe 60%</t>
  </si>
  <si>
    <t>Lance 60%</t>
  </si>
  <si>
    <t>Blue Wolf Breastplate 60%</t>
  </si>
  <si>
    <t>Blue Wolf Gloves 60%</t>
  </si>
  <si>
    <t>Blue Wolf Boots 60%</t>
  </si>
  <si>
    <t>Blue Wolf Helmet 60%</t>
  </si>
  <si>
    <t>Blue Wolf Gaiters 60%</t>
  </si>
  <si>
    <t>Doom plate 100%</t>
  </si>
  <si>
    <t>Sealed Blue Wolf Gloves 60%</t>
  </si>
  <si>
    <t>Sealed Blue Wolf Boots 60%</t>
  </si>
  <si>
    <t>Bellion Cestus 60</t>
  </si>
  <si>
    <t>Great Sword 60%</t>
  </si>
  <si>
    <t>Dragon Slayer</t>
  </si>
  <si>
    <t>Samurai Longsword</t>
  </si>
  <si>
    <t>Ilość potrzebna</t>
  </si>
  <si>
    <t>Animal Skin</t>
  </si>
  <si>
    <t>Varnish</t>
  </si>
  <si>
    <t>Animal Bone</t>
  </si>
  <si>
    <t>Thread</t>
  </si>
  <si>
    <t>Stem</t>
  </si>
  <si>
    <t>Coal</t>
  </si>
  <si>
    <t>Charcoal</t>
  </si>
  <si>
    <t>Suede</t>
  </si>
  <si>
    <t>Silver Nugget</t>
  </si>
  <si>
    <t>Mithril Ore</t>
  </si>
  <si>
    <t>Iron Ore</t>
  </si>
  <si>
    <t>Oriharukon Ore</t>
  </si>
  <si>
    <t>Adamnite Nugget</t>
  </si>
  <si>
    <t>Enria</t>
  </si>
  <si>
    <t>Asofe</t>
  </si>
  <si>
    <t>Mold Lubricant</t>
  </si>
  <si>
    <t>Mold Hardener</t>
  </si>
  <si>
    <t>Mold Glue</t>
  </si>
  <si>
    <t>Stone of Purity</t>
  </si>
  <si>
    <t>Gemstone B</t>
  </si>
  <si>
    <t>Gemstone A</t>
  </si>
  <si>
    <t>&lt;Dodatkowy Mats&gt;</t>
  </si>
  <si>
    <t>Baza itemka</t>
  </si>
  <si>
    <t>Bow of Peril Shaft</t>
  </si>
  <si>
    <t>Sword of valhalla blade</t>
  </si>
  <si>
    <t>Avadon Robe Fabric</t>
  </si>
  <si>
    <t>Lance Blade</t>
  </si>
  <si>
    <t>Rec</t>
  </si>
  <si>
    <t>BW gaiters</t>
  </si>
  <si>
    <t>BW plate</t>
  </si>
  <si>
    <t>Recipe</t>
  </si>
  <si>
    <t>Recka itemka</t>
  </si>
  <si>
    <t>Recipe: Bow of Peril (60%)</t>
  </si>
  <si>
    <t>Recipe: Bow of Peril (100%)</t>
  </si>
  <si>
    <t>Recipe: Sword of Valhalla (100%)</t>
  </si>
  <si>
    <t>Recipe: Avadon Robe (60%)</t>
  </si>
  <si>
    <t>Recipe: Lance (60%)</t>
  </si>
  <si>
    <t>Blue wolf breastplate</t>
  </si>
  <si>
    <t>Recka</t>
  </si>
  <si>
    <t>Blade</t>
  </si>
  <si>
    <t>Samurai Longsword Blade</t>
  </si>
  <si>
    <t>Szansa powodzenia</t>
  </si>
  <si>
    <t>Cena rynkowa:</t>
  </si>
  <si>
    <t>Koszt całkowity:</t>
  </si>
  <si>
    <t>Potencjalny zysk: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</si>
</sst>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;(#,##0)"/>
  </numFmts>
  <fonts count="13">
    <font>
      <sz val="10.0"/>
      <color rgb="FF000000"/>
      <name val="Arial"/>
    </font>
    <font>
      <b/>
      <color rgb="FFCC0000"/>
    </font>
    <font>
      <b/>
      <u/>
      <sz val="14.0"/>
      <color rgb="FF0000FF"/>
    </font>
    <font>
      <b/>
      <sz val="14.0"/>
    </font>
    <font>
      <b/>
    </font>
    <font>
      <color rgb="FF000000"/>
    </font>
    <font>
      <color rgb="FFFF0000"/>
    </font>
    <font/>
    <font>
      <b/>
      <u/>
      <sz val="14.0"/>
      <color rgb="FF0000FF"/>
    </font>
    <font>
      <color rgb="FF6AA84F"/>
    </font>
    <font>
      <b/>
      <sz val="24.0"/>
    </font>
    <font>
      <b/>
      <color rgb="FF000000"/>
    </font>
    <font>
      <b/>
      <color rgb="FF980000"/>
    </font>
  </fonts>
  <fills count="1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9900"/>
        <bgColor rgb="FFFF990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D2E9"/>
        <bgColor rgb="FFD9D2E9"/>
      </patternFill>
    </fill>
    <fill>
      <patternFill patternType="solid">
        <fgColor rgb="FFB6D7A8"/>
        <bgColor rgb="FFB6D7A8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93C47D"/>
        <bgColor rgb="FF93C47D"/>
      </patternFill>
    </fill>
    <fill>
      <patternFill patternType="solid">
        <fgColor rgb="FFEFEFEF"/>
        <bgColor rgb="FFEFEFEF"/>
      </patternFill>
    </fill>
    <fill>
      <patternFill patternType="solid">
        <fgColor rgb="FFFFE599"/>
        <bgColor rgb="FFFFE599"/>
      </patternFill>
    </fill>
    <fill>
      <patternFill patternType="solid">
        <fgColor rgb="FF00FFFF"/>
        <bgColor rgb="FF00FFFF"/>
      </patternFill>
    </fill>
  </fills>
  <borders count="15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3" fontId="2" numFmtId="0" xfId="0" applyAlignment="1" applyBorder="1" applyFill="1" applyFont="1">
      <alignment horizontal="left" readingOrder="0"/>
    </xf>
    <xf borderId="2" fillId="3" fontId="3" numFmtId="0" xfId="0" applyAlignment="1" applyBorder="1" applyFont="1">
      <alignment horizontal="center" readingOrder="0"/>
    </xf>
    <xf borderId="3" fillId="2" fontId="4" numFmtId="0" xfId="0" applyAlignment="1" applyBorder="1" applyFont="1">
      <alignment readingOrder="0"/>
    </xf>
    <xf borderId="2" fillId="2" fontId="1" numFmtId="0" xfId="0" applyAlignment="1" applyBorder="1" applyFont="1">
      <alignment readingOrder="0"/>
    </xf>
    <xf borderId="3" fillId="2" fontId="1" numFmtId="0" xfId="0" applyAlignment="1" applyBorder="1" applyFont="1">
      <alignment readingOrder="0"/>
    </xf>
    <xf borderId="4" fillId="3" fontId="3" numFmtId="0" xfId="0" applyAlignment="1" applyBorder="1" applyFont="1">
      <alignment horizontal="center" readingOrder="0"/>
    </xf>
    <xf borderId="4" fillId="2" fontId="5" numFmtId="0" xfId="0" applyAlignment="1" applyBorder="1" applyFont="1">
      <alignment readingOrder="0"/>
    </xf>
    <xf borderId="5" fillId="3" fontId="3" numFmtId="0" xfId="0" applyAlignment="1" applyBorder="1" applyFont="1">
      <alignment horizontal="center" readingOrder="0"/>
    </xf>
    <xf borderId="5" fillId="0" fontId="5" numFmtId="164" xfId="0" applyAlignment="1" applyBorder="1" applyFont="1" applyNumberFormat="1">
      <alignment readingOrder="0"/>
    </xf>
    <xf borderId="6" fillId="2" fontId="6" numFmtId="0" xfId="0" applyAlignment="1" applyBorder="1" applyFont="1">
      <alignment readingOrder="0"/>
    </xf>
    <xf borderId="6" fillId="2" fontId="7" numFmtId="0" xfId="0" applyAlignment="1" applyBorder="1" applyFont="1">
      <alignment readingOrder="0"/>
    </xf>
    <xf borderId="1" fillId="4" fontId="4" numFmtId="0" xfId="0" applyAlignment="1" applyBorder="1" applyFill="1" applyFont="1">
      <alignment horizontal="center" readingOrder="0"/>
    </xf>
    <xf borderId="6" fillId="0" fontId="7" numFmtId="0" xfId="0" applyAlignment="1" applyBorder="1" applyFont="1">
      <alignment readingOrder="0"/>
    </xf>
    <xf borderId="7" fillId="0" fontId="7" numFmtId="0" xfId="0" applyAlignment="1" applyBorder="1" applyFont="1">
      <alignment readingOrder="0"/>
    </xf>
    <xf borderId="5" fillId="0" fontId="5" numFmtId="3" xfId="0" applyAlignment="1" applyBorder="1" applyFont="1" applyNumberFormat="1">
      <alignment readingOrder="0"/>
    </xf>
    <xf borderId="4" fillId="0" fontId="7" numFmtId="0" xfId="0" applyBorder="1" applyFont="1"/>
    <xf borderId="8" fillId="3" fontId="8" numFmtId="0" xfId="0" applyAlignment="1" applyBorder="1" applyFont="1">
      <alignment horizontal="center" readingOrder="0"/>
    </xf>
    <xf borderId="9" fillId="3" fontId="3" numFmtId="0" xfId="0" applyAlignment="1" applyBorder="1" applyFont="1">
      <alignment horizontal="center" readingOrder="0"/>
    </xf>
    <xf borderId="10" fillId="5" fontId="9" numFmtId="0" xfId="0" applyAlignment="1" applyBorder="1" applyFill="1" applyFont="1">
      <alignment readingOrder="0"/>
    </xf>
    <xf borderId="7" fillId="2" fontId="9" numFmtId="0" xfId="0" applyAlignment="1" applyBorder="1" applyFont="1">
      <alignment readingOrder="0"/>
    </xf>
    <xf borderId="8" fillId="0" fontId="7" numFmtId="0" xfId="0" applyBorder="1" applyFont="1"/>
    <xf borderId="0" fillId="5" fontId="6" numFmtId="0" xfId="0" applyAlignment="1" applyFont="1">
      <alignment readingOrder="0"/>
    </xf>
    <xf borderId="11" fillId="2" fontId="6" numFmtId="0" xfId="0" applyAlignment="1" applyBorder="1" applyFont="1">
      <alignment readingOrder="0"/>
    </xf>
    <xf borderId="11" fillId="0" fontId="7" numFmtId="0" xfId="0" applyAlignment="1" applyBorder="1" applyFont="1">
      <alignment readingOrder="0"/>
    </xf>
    <xf borderId="0" fillId="6" fontId="4" numFmtId="0" xfId="0" applyAlignment="1" applyFill="1" applyFont="1">
      <alignment readingOrder="0"/>
    </xf>
    <xf borderId="0" fillId="0" fontId="7" numFmtId="2" xfId="0" applyAlignment="1" applyFont="1" applyNumberFormat="1">
      <alignment readingOrder="0"/>
    </xf>
    <xf borderId="0" fillId="0" fontId="7" numFmtId="0" xfId="0" applyAlignment="1" applyFont="1">
      <alignment readingOrder="0"/>
    </xf>
    <xf borderId="0" fillId="0" fontId="7" numFmtId="2" xfId="0" applyFont="1" applyNumberFormat="1"/>
    <xf borderId="0" fillId="7" fontId="7" numFmtId="2" xfId="0" applyAlignment="1" applyFill="1" applyFont="1" applyNumberFormat="1">
      <alignment readingOrder="0"/>
    </xf>
    <xf borderId="6" fillId="3" fontId="10" numFmtId="0" xfId="0" applyAlignment="1" applyBorder="1" applyFont="1">
      <alignment horizontal="center" readingOrder="0"/>
    </xf>
    <xf borderId="0" fillId="8" fontId="4" numFmtId="0" xfId="0" applyAlignment="1" applyFill="1" applyFont="1">
      <alignment readingOrder="0"/>
    </xf>
    <xf borderId="11" fillId="0" fontId="7" numFmtId="0" xfId="0" applyBorder="1" applyFont="1"/>
    <xf borderId="11" fillId="2" fontId="7" numFmtId="0" xfId="0" applyAlignment="1" applyBorder="1" applyFont="1">
      <alignment readingOrder="0"/>
    </xf>
    <xf borderId="0" fillId="0" fontId="7" numFmtId="1" xfId="0" applyFont="1" applyNumberFormat="1"/>
    <xf borderId="12" fillId="9" fontId="11" numFmtId="0" xfId="0" applyAlignment="1" applyBorder="1" applyFill="1" applyFont="1">
      <alignment horizontal="center" readingOrder="0"/>
    </xf>
    <xf borderId="13" fillId="9" fontId="11" numFmtId="0" xfId="0" applyAlignment="1" applyBorder="1" applyFont="1">
      <alignment horizontal="center" readingOrder="0"/>
    </xf>
    <xf borderId="12" fillId="9" fontId="11" numFmtId="0" xfId="0" applyAlignment="1" applyBorder="1" applyFont="1">
      <alignment horizontal="right" readingOrder="0"/>
    </xf>
    <xf borderId="6" fillId="10" fontId="4" numFmtId="0" xfId="0" applyAlignment="1" applyBorder="1" applyFill="1" applyFont="1">
      <alignment readingOrder="0"/>
    </xf>
    <xf borderId="10" fillId="2" fontId="7" numFmtId="0" xfId="0" applyBorder="1" applyFont="1"/>
    <xf borderId="7" fillId="10" fontId="0" numFmtId="0" xfId="0" applyBorder="1" applyFont="1"/>
    <xf borderId="5" fillId="11" fontId="5" numFmtId="164" xfId="0" applyAlignment="1" applyBorder="1" applyFill="1" applyFont="1" applyNumberFormat="1">
      <alignment readingOrder="0"/>
    </xf>
    <xf borderId="5" fillId="0" fontId="7" numFmtId="0" xfId="0" applyAlignment="1" applyBorder="1" applyFont="1">
      <alignment readingOrder="0"/>
    </xf>
    <xf borderId="5" fillId="11" fontId="5" numFmtId="3" xfId="0" applyAlignment="1" applyBorder="1" applyFont="1" applyNumberFormat="1">
      <alignment readingOrder="0"/>
    </xf>
    <xf borderId="5" fillId="0" fontId="7" numFmtId="164" xfId="0" applyAlignment="1" applyBorder="1" applyFont="1" applyNumberFormat="1">
      <alignment readingOrder="0"/>
    </xf>
    <xf borderId="4" fillId="2" fontId="6" numFmtId="0" xfId="0" applyAlignment="1" applyBorder="1" applyFont="1">
      <alignment readingOrder="0"/>
    </xf>
    <xf borderId="4" fillId="2" fontId="0" numFmtId="0" xfId="0" applyAlignment="1" applyBorder="1" applyFont="1">
      <alignment horizontal="left" readingOrder="0"/>
    </xf>
    <xf borderId="0" fillId="2" fontId="7" numFmtId="0" xfId="0" applyAlignment="1" applyFont="1">
      <alignment readingOrder="0"/>
    </xf>
    <xf borderId="5" fillId="11" fontId="7" numFmtId="0" xfId="0" applyAlignment="1" applyBorder="1" applyFont="1">
      <alignment readingOrder="0"/>
    </xf>
    <xf borderId="5" fillId="0" fontId="7" numFmtId="0" xfId="0" applyBorder="1" applyFont="1"/>
    <xf borderId="0" fillId="11" fontId="7" numFmtId="0" xfId="0" applyFont="1"/>
    <xf borderId="7" fillId="10" fontId="0" numFmtId="164" xfId="0" applyBorder="1" applyFont="1" applyNumberFormat="1"/>
    <xf borderId="4" fillId="12" fontId="6" numFmtId="0" xfId="0" applyAlignment="1" applyBorder="1" applyFill="1" applyFont="1">
      <alignment readingOrder="0"/>
    </xf>
    <xf borderId="4" fillId="0" fontId="6" numFmtId="0" xfId="0" applyAlignment="1" applyBorder="1" applyFont="1">
      <alignment readingOrder="0"/>
    </xf>
    <xf borderId="0" fillId="0" fontId="6" numFmtId="164" xfId="0" applyAlignment="1" applyFont="1" applyNumberFormat="1">
      <alignment readingOrder="0"/>
    </xf>
    <xf borderId="5" fillId="0" fontId="6" numFmtId="164" xfId="0" applyAlignment="1" applyBorder="1" applyFont="1" applyNumberFormat="1">
      <alignment readingOrder="0"/>
    </xf>
    <xf borderId="0" fillId="0" fontId="5" numFmtId="0" xfId="0" applyAlignment="1" applyFont="1">
      <alignment readingOrder="0"/>
    </xf>
    <xf borderId="0" fillId="0" fontId="5" numFmtId="164" xfId="0" applyAlignment="1" applyFont="1" applyNumberFormat="1">
      <alignment readingOrder="0"/>
    </xf>
    <xf borderId="0" fillId="0" fontId="6" numFmtId="0" xfId="0" applyAlignment="1" applyFont="1">
      <alignment readingOrder="0"/>
    </xf>
    <xf borderId="0" fillId="0" fontId="6" numFmtId="0" xfId="0" applyFont="1"/>
    <xf borderId="4" fillId="12" fontId="5" numFmtId="0" xfId="0" applyAlignment="1" applyBorder="1" applyFont="1">
      <alignment readingOrder="0"/>
    </xf>
    <xf borderId="4" fillId="0" fontId="5" numFmtId="0" xfId="0" applyAlignment="1" applyBorder="1" applyFont="1">
      <alignment readingOrder="0"/>
    </xf>
    <xf borderId="5" fillId="10" fontId="7" numFmtId="0" xfId="0" applyBorder="1" applyFont="1"/>
    <xf borderId="0" fillId="12" fontId="7" numFmtId="0" xfId="0" applyAlignment="1" applyFont="1">
      <alignment readingOrder="0"/>
    </xf>
    <xf borderId="4" fillId="10" fontId="0" numFmtId="164" xfId="0" applyBorder="1" applyFont="1" applyNumberFormat="1"/>
    <xf borderId="6" fillId="0" fontId="7" numFmtId="0" xfId="0" applyBorder="1" applyFont="1"/>
    <xf borderId="2" fillId="2" fontId="12" numFmtId="0" xfId="0" applyAlignment="1" applyBorder="1" applyFont="1">
      <alignment readingOrder="0"/>
    </xf>
    <xf borderId="10" fillId="0" fontId="7" numFmtId="0" xfId="0" applyBorder="1" applyFont="1"/>
    <xf borderId="2" fillId="9" fontId="7" numFmtId="164" xfId="0" applyAlignment="1" applyBorder="1" applyFont="1" applyNumberFormat="1">
      <alignment readingOrder="0"/>
    </xf>
    <xf borderId="1" fillId="0" fontId="7" numFmtId="0" xfId="0" applyBorder="1" applyFont="1"/>
    <xf borderId="3" fillId="10" fontId="7" numFmtId="164" xfId="0" applyBorder="1" applyFont="1" applyNumberFormat="1"/>
    <xf borderId="7" fillId="2" fontId="12" numFmtId="0" xfId="0" applyAlignment="1" applyBorder="1" applyFont="1">
      <alignment readingOrder="0"/>
    </xf>
    <xf borderId="13" fillId="0" fontId="7" numFmtId="164" xfId="0" applyBorder="1" applyFont="1" applyNumberFormat="1"/>
    <xf borderId="3" fillId="9" fontId="7" numFmtId="164" xfId="0" applyBorder="1" applyFont="1" applyNumberFormat="1"/>
    <xf borderId="3" fillId="13" fontId="4" numFmtId="164" xfId="0" applyBorder="1" applyFill="1" applyFont="1" applyNumberFormat="1"/>
    <xf borderId="11" fillId="2" fontId="12" numFmtId="0" xfId="0" applyAlignment="1" applyBorder="1" applyFont="1">
      <alignment readingOrder="0"/>
    </xf>
    <xf borderId="14" fillId="0" fontId="7" numFmtId="0" xfId="0" applyBorder="1" applyFont="1"/>
    <xf borderId="14" fillId="14" fontId="4" numFmtId="164" xfId="0" applyBorder="1" applyFill="1" applyFont="1" applyNumberFormat="1"/>
    <xf borderId="9" fillId="14" fontId="4" numFmtId="164" xfId="0" applyBorder="1" applyFont="1" applyNumberFormat="1"/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altermmo.pl" TargetMode="External"/><Relationship Id="rId2" Type="http://schemas.openxmlformats.org/officeDocument/2006/relationships/hyperlink" Target="http://lineage.pmfun.com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8.14"/>
    <col customWidth="1" min="2" max="57" width="25.14"/>
  </cols>
  <sheetData>
    <row r="1">
      <c r="A1" s="2" t="s">
        <v>1</v>
      </c>
      <c r="B1" s="3"/>
      <c r="D1" s="4" t="s">
        <v>3</v>
      </c>
      <c r="E1" s="4" t="s">
        <v>4</v>
      </c>
      <c r="F1" s="4"/>
    </row>
    <row r="2">
      <c r="A2" s="7"/>
      <c r="B2" s="9"/>
      <c r="D2" s="11" t="s">
        <v>12</v>
      </c>
      <c r="E2" s="12" t="s">
        <v>14</v>
      </c>
      <c r="F2" s="12"/>
    </row>
    <row r="3">
      <c r="A3" s="18" t="s">
        <v>15</v>
      </c>
      <c r="B3" s="19"/>
      <c r="D3" s="20"/>
      <c r="E3" s="21" t="s">
        <v>19</v>
      </c>
      <c r="F3" s="21"/>
    </row>
    <row r="4">
      <c r="D4" s="23"/>
      <c r="E4" s="24" t="s">
        <v>22</v>
      </c>
      <c r="F4" s="24"/>
    </row>
    <row r="5">
      <c r="A5" s="31" t="s">
        <v>23</v>
      </c>
    </row>
    <row r="6">
      <c r="A6" s="33"/>
      <c r="B6" s="34"/>
      <c r="C6" s="4" t="s">
        <v>31</v>
      </c>
      <c r="D6" s="36"/>
      <c r="E6" s="37"/>
      <c r="F6" s="38" t="s">
        <v>32</v>
      </c>
      <c r="G6" s="36"/>
      <c r="H6" s="37"/>
      <c r="I6" s="38" t="s">
        <v>33</v>
      </c>
      <c r="J6" s="36"/>
      <c r="K6" s="37"/>
      <c r="L6" s="38" t="s">
        <v>34</v>
      </c>
      <c r="M6" s="36"/>
      <c r="N6" s="37"/>
      <c r="O6" s="38" t="s">
        <v>35</v>
      </c>
      <c r="P6" s="36"/>
      <c r="Q6" s="37"/>
      <c r="R6" s="38" t="s">
        <v>36</v>
      </c>
      <c r="S6" s="36"/>
      <c r="T6" s="37"/>
      <c r="U6" s="38" t="s">
        <v>37</v>
      </c>
      <c r="V6" s="36"/>
      <c r="W6" s="37"/>
      <c r="X6" s="38" t="s">
        <v>38</v>
      </c>
      <c r="Y6" s="36"/>
      <c r="Z6" s="37"/>
      <c r="AA6" s="38" t="s">
        <v>39</v>
      </c>
      <c r="AB6" s="36"/>
      <c r="AC6" s="37"/>
      <c r="AD6" s="38" t="s">
        <v>40</v>
      </c>
      <c r="AE6" s="36"/>
      <c r="AF6" s="37"/>
      <c r="AG6" s="38" t="s">
        <v>41</v>
      </c>
      <c r="AH6" s="36"/>
      <c r="AI6" s="37"/>
      <c r="AJ6" s="38" t="s">
        <v>42</v>
      </c>
      <c r="AK6" s="36"/>
      <c r="AL6" s="37"/>
      <c r="AM6" s="38" t="s">
        <v>43</v>
      </c>
      <c r="AN6" s="36"/>
      <c r="AO6" s="37"/>
      <c r="AP6" s="38" t="s">
        <v>44</v>
      </c>
      <c r="AQ6" s="36"/>
      <c r="AR6" s="37"/>
      <c r="AS6" s="38" t="s">
        <v>45</v>
      </c>
      <c r="AT6" s="36"/>
      <c r="AU6" s="37"/>
      <c r="AV6" s="38" t="s">
        <v>46</v>
      </c>
      <c r="AW6" s="36"/>
      <c r="AX6" s="37"/>
      <c r="AY6" s="38" t="s">
        <v>47</v>
      </c>
      <c r="AZ6" s="36"/>
      <c r="BA6" s="37"/>
      <c r="BB6" s="38" t="s">
        <v>48</v>
      </c>
      <c r="BC6" s="36"/>
      <c r="BD6" s="37"/>
      <c r="BE6" s="38" t="s">
        <v>49</v>
      </c>
    </row>
    <row r="7">
      <c r="A7" s="39" t="s">
        <v>39</v>
      </c>
      <c r="B7" s="1" t="s">
        <v>0</v>
      </c>
      <c r="C7" s="5" t="s">
        <v>2</v>
      </c>
      <c r="D7" s="40"/>
      <c r="E7" s="40"/>
      <c r="F7" s="5" t="s">
        <v>50</v>
      </c>
      <c r="G7" s="40"/>
      <c r="H7" s="40"/>
      <c r="I7" s="5" t="s">
        <v>50</v>
      </c>
      <c r="J7" s="40"/>
      <c r="K7" s="40"/>
      <c r="L7" s="5" t="s">
        <v>50</v>
      </c>
      <c r="M7" s="40"/>
      <c r="N7" s="40"/>
      <c r="O7" s="5" t="s">
        <v>50</v>
      </c>
      <c r="P7" s="40"/>
      <c r="Q7" s="40"/>
      <c r="R7" s="5" t="s">
        <v>50</v>
      </c>
      <c r="S7" s="40"/>
      <c r="T7" s="40"/>
      <c r="U7" s="5" t="s">
        <v>50</v>
      </c>
      <c r="V7" s="40"/>
      <c r="W7" s="40"/>
      <c r="X7" s="5" t="s">
        <v>50</v>
      </c>
      <c r="Y7" s="40"/>
      <c r="Z7" s="40"/>
      <c r="AA7" s="5" t="s">
        <v>50</v>
      </c>
      <c r="AB7" s="40"/>
      <c r="AC7" s="40"/>
      <c r="AD7" s="5" t="s">
        <v>50</v>
      </c>
      <c r="AE7" s="40"/>
      <c r="AF7" s="40"/>
      <c r="AG7" s="5" t="s">
        <v>50</v>
      </c>
      <c r="AH7" s="40"/>
      <c r="AI7" s="40"/>
      <c r="AJ7" s="5" t="s">
        <v>50</v>
      </c>
      <c r="AK7" s="40"/>
      <c r="AL7" s="40"/>
      <c r="AM7" s="5" t="s">
        <v>50</v>
      </c>
      <c r="AN7" s="40"/>
      <c r="AO7" s="40"/>
      <c r="AP7" s="5" t="s">
        <v>50</v>
      </c>
      <c r="AQ7" s="40"/>
      <c r="AR7" s="40"/>
      <c r="AS7" s="5" t="s">
        <v>50</v>
      </c>
      <c r="AT7" s="40"/>
      <c r="AU7" s="40"/>
      <c r="AV7" s="5" t="s">
        <v>50</v>
      </c>
      <c r="AW7" s="40"/>
      <c r="AX7" s="40"/>
      <c r="AY7" s="5" t="s">
        <v>50</v>
      </c>
      <c r="AZ7" s="40"/>
      <c r="BA7" s="40"/>
      <c r="BB7" s="5" t="s">
        <v>50</v>
      </c>
      <c r="BC7" s="40"/>
      <c r="BD7" s="40"/>
      <c r="BE7" s="5" t="s">
        <v>50</v>
      </c>
    </row>
    <row r="8">
      <c r="A8" s="41">
        <f>HLOOKUP($A$7,$D$6:$BE$35,3,FALSE)</f>
        <v>0</v>
      </c>
      <c r="B8" s="8" t="s">
        <v>51</v>
      </c>
      <c r="C8" s="42">
        <v>800.0</v>
      </c>
      <c r="D8" t="str">
        <f>$B$8</f>
        <v>Animal Skin</v>
      </c>
      <c r="F8" s="43">
        <v>0.0</v>
      </c>
      <c r="G8" t="str">
        <f>$B$8</f>
        <v>Animal Skin</v>
      </c>
      <c r="I8" s="43">
        <v>0.0</v>
      </c>
      <c r="J8" t="str">
        <f>$B$8</f>
        <v>Animal Skin</v>
      </c>
      <c r="L8" s="43">
        <v>0.0</v>
      </c>
      <c r="M8" t="str">
        <f>$B$8</f>
        <v>Animal Skin</v>
      </c>
      <c r="O8" s="43">
        <v>2304.0</v>
      </c>
      <c r="P8" t="str">
        <f>$B$8</f>
        <v>Animal Skin</v>
      </c>
      <c r="R8" s="43">
        <v>1560.0</v>
      </c>
      <c r="S8" t="str">
        <f>$B$8</f>
        <v>Animal Skin</v>
      </c>
      <c r="U8" s="43">
        <v>0.0</v>
      </c>
      <c r="V8" t="str">
        <f>$B$8</f>
        <v>Animal Skin</v>
      </c>
      <c r="X8" s="43">
        <v>0.0</v>
      </c>
      <c r="Y8" t="str">
        <f>$B$8</f>
        <v>Animal Skin</v>
      </c>
      <c r="AA8" s="43">
        <v>0.0</v>
      </c>
      <c r="AB8" t="str">
        <f>$B$8</f>
        <v>Animal Skin</v>
      </c>
      <c r="AD8" s="43">
        <v>0.0</v>
      </c>
      <c r="AE8" t="str">
        <f>$B$8</f>
        <v>Animal Skin</v>
      </c>
      <c r="AG8" s="43">
        <v>960.0</v>
      </c>
      <c r="AH8" t="str">
        <f>$B$8</f>
        <v>Animal Skin</v>
      </c>
      <c r="AJ8" s="43">
        <v>0.0</v>
      </c>
      <c r="AK8" t="str">
        <f>$B$8</f>
        <v>Animal Skin</v>
      </c>
      <c r="AM8" s="43">
        <v>0.0</v>
      </c>
      <c r="AN8" t="str">
        <f>$B$8</f>
        <v>Animal Skin</v>
      </c>
      <c r="AP8" s="43">
        <v>768.0</v>
      </c>
      <c r="AQ8" t="str">
        <f>$B$8</f>
        <v>Animal Skin</v>
      </c>
      <c r="AS8" s="43">
        <v>768.0</v>
      </c>
      <c r="AT8" t="str">
        <f>$B$8</f>
        <v>Animal Skin</v>
      </c>
      <c r="AV8" s="43">
        <v>0.0</v>
      </c>
      <c r="AW8" t="str">
        <f>$B$8</f>
        <v>Animal Skin</v>
      </c>
      <c r="AY8" s="43">
        <v>0.0</v>
      </c>
      <c r="AZ8" t="str">
        <f>$B$8</f>
        <v>Animal Skin</v>
      </c>
      <c r="BB8" s="43">
        <v>0.0</v>
      </c>
      <c r="BC8" t="str">
        <f>$B$8</f>
        <v>Animal Skin</v>
      </c>
      <c r="BE8" s="43">
        <v>0.0</v>
      </c>
    </row>
    <row r="9">
      <c r="A9" s="41">
        <f>HLOOKUP($A$7,$D$6:$BE$35,4,FALSE)</f>
        <v>0</v>
      </c>
      <c r="B9" s="8" t="s">
        <v>52</v>
      </c>
      <c r="C9" s="44">
        <v>800.0</v>
      </c>
      <c r="D9" t="str">
        <f>$B$9</f>
        <v>Varnish</v>
      </c>
      <c r="F9" s="45">
        <v>2600.0</v>
      </c>
      <c r="G9" t="str">
        <f>$B$9</f>
        <v>Varnish</v>
      </c>
      <c r="I9" s="45">
        <v>3795.0</v>
      </c>
      <c r="J9" t="str">
        <f>$B$9</f>
        <v>Varnish</v>
      </c>
      <c r="L9" s="45">
        <v>1542.0</v>
      </c>
      <c r="M9" t="str">
        <f>$B$9</f>
        <v>Varnish</v>
      </c>
      <c r="O9" s="45">
        <v>230.0</v>
      </c>
      <c r="P9" t="str">
        <f>$B$9</f>
        <v>Varnish</v>
      </c>
      <c r="R9" s="45">
        <v>150.0</v>
      </c>
      <c r="S9" t="str">
        <f>$B$9</f>
        <v>Varnish</v>
      </c>
      <c r="U9" s="43">
        <v>2080.0</v>
      </c>
      <c r="V9" t="str">
        <f>$B$9</f>
        <v>Varnish</v>
      </c>
      <c r="X9" s="43">
        <v>513.0</v>
      </c>
      <c r="Y9" t="str">
        <f>$B$9</f>
        <v>Varnish</v>
      </c>
      <c r="AA9" s="43">
        <v>0.0</v>
      </c>
      <c r="AB9" t="str">
        <f>$B$9</f>
        <v>Varnish</v>
      </c>
      <c r="AD9" s="43">
        <v>0.0</v>
      </c>
      <c r="AE9" t="str">
        <f>$B$9</f>
        <v>Varnish</v>
      </c>
      <c r="AG9" s="43">
        <v>96.0</v>
      </c>
      <c r="AH9" t="str">
        <f>$B$9</f>
        <v>Varnish</v>
      </c>
      <c r="AJ9" s="43">
        <v>342.0</v>
      </c>
      <c r="AK9" t="str">
        <f>$B$9</f>
        <v>Varnish</v>
      </c>
      <c r="AM9" s="43">
        <v>1026.0</v>
      </c>
      <c r="AN9" t="str">
        <f>$B$9</f>
        <v>Varnish</v>
      </c>
      <c r="AP9" s="43">
        <v>1280.0</v>
      </c>
      <c r="AQ9" t="str">
        <f>$B$9</f>
        <v>Varnish</v>
      </c>
      <c r="AS9" s="43">
        <v>1280.0</v>
      </c>
      <c r="AT9" t="str">
        <f>$B$9</f>
        <v>Varnish</v>
      </c>
      <c r="AV9" s="43">
        <v>1560.0</v>
      </c>
      <c r="AW9" t="str">
        <f>$B$9</f>
        <v>Varnish</v>
      </c>
      <c r="AY9" s="43">
        <v>1085.0</v>
      </c>
      <c r="AZ9" t="str">
        <f>$B$9</f>
        <v>Varnish</v>
      </c>
      <c r="BB9" s="43">
        <v>2238.0</v>
      </c>
      <c r="BC9" t="str">
        <f>$B$9</f>
        <v>Varnish</v>
      </c>
      <c r="BE9" s="43">
        <v>2751.0</v>
      </c>
    </row>
    <row r="10">
      <c r="A10" s="41">
        <f>HLOOKUP($A$7,$D$6:$BE$35,5,FALSE)</f>
        <v>0</v>
      </c>
      <c r="B10" s="8" t="s">
        <v>53</v>
      </c>
      <c r="C10" s="44">
        <v>800.0</v>
      </c>
      <c r="D10" t="str">
        <f>$B$10</f>
        <v>Animal Bone</v>
      </c>
      <c r="F10" s="45">
        <v>6400.0</v>
      </c>
      <c r="G10" t="str">
        <f>$B$10</f>
        <v>Animal Bone</v>
      </c>
      <c r="I10" s="45">
        <v>10020.0</v>
      </c>
      <c r="J10" t="str">
        <f>$B$10</f>
        <v>Animal Bone</v>
      </c>
      <c r="L10" s="45">
        <v>0.0</v>
      </c>
      <c r="M10" t="str">
        <f>$B$10</f>
        <v>Animal Bone</v>
      </c>
      <c r="O10" s="45">
        <v>0.0</v>
      </c>
      <c r="P10" t="str">
        <f>$B$10</f>
        <v>Animal Bone</v>
      </c>
      <c r="R10" s="45">
        <v>0.0</v>
      </c>
      <c r="S10" t="str">
        <f>$B$10</f>
        <v>Animal Bone</v>
      </c>
      <c r="U10" s="43">
        <v>5200.0</v>
      </c>
      <c r="V10" t="str">
        <f>$B$10</f>
        <v>Animal Bone</v>
      </c>
      <c r="X10" s="43">
        <v>1530.0</v>
      </c>
      <c r="Y10" t="str">
        <f>$B$10</f>
        <v>Animal Bone</v>
      </c>
      <c r="AA10" s="43">
        <v>0.0</v>
      </c>
      <c r="AB10" t="str">
        <f>$B$10</f>
        <v>Animal Bone</v>
      </c>
      <c r="AD10" s="43">
        <v>0.0</v>
      </c>
      <c r="AE10" t="str">
        <f>$B$10</f>
        <v>Animal Bone</v>
      </c>
      <c r="AG10" s="43">
        <v>0.0</v>
      </c>
      <c r="AH10" t="str">
        <f>$B$10</f>
        <v>Animal Bone</v>
      </c>
      <c r="AJ10" s="43">
        <v>1020.0</v>
      </c>
      <c r="AK10" t="str">
        <f>$B$10</f>
        <v>Animal Bone</v>
      </c>
      <c r="AM10" s="43">
        <v>3360.0</v>
      </c>
      <c r="AN10" t="str">
        <f>$B$10</f>
        <v>Animal Bone</v>
      </c>
      <c r="AP10" s="43">
        <v>40.0</v>
      </c>
      <c r="AQ10" t="str">
        <f>$B$10</f>
        <v>Animal Bone</v>
      </c>
      <c r="AS10" s="43">
        <v>40.0</v>
      </c>
      <c r="AT10" t="str">
        <f>$B$10</f>
        <v>Animal Bone</v>
      </c>
      <c r="AV10" s="43">
        <v>4200.0</v>
      </c>
      <c r="AW10" t="str">
        <f>$B$10</f>
        <v>Animal Bone</v>
      </c>
      <c r="AY10" s="43">
        <v>2850.0</v>
      </c>
      <c r="AZ10" t="str">
        <f>$B$10</f>
        <v>Animal Bone</v>
      </c>
      <c r="BB10" s="43">
        <v>0.0</v>
      </c>
      <c r="BC10" t="str">
        <f>$B$10</f>
        <v>Animal Bone</v>
      </c>
      <c r="BE10" s="43">
        <v>2910.0</v>
      </c>
    </row>
    <row r="11">
      <c r="A11" s="41">
        <f>HLOOKUP($A$7,$D$6:$BE$35,6,FALSE)</f>
        <v>0</v>
      </c>
      <c r="B11" s="8" t="s">
        <v>54</v>
      </c>
      <c r="C11" s="44">
        <v>800.0</v>
      </c>
      <c r="D11" t="str">
        <f>$B$11</f>
        <v>Thread</v>
      </c>
      <c r="F11" s="45">
        <v>200.0</v>
      </c>
      <c r="G11" t="str">
        <f>$B$11</f>
        <v>Thread</v>
      </c>
      <c r="I11" s="45">
        <v>285.0</v>
      </c>
      <c r="J11" t="str">
        <f>$B$11</f>
        <v>Thread</v>
      </c>
      <c r="L11" s="45">
        <v>0.0</v>
      </c>
      <c r="M11" t="str">
        <f>$B$11</f>
        <v>Thread</v>
      </c>
      <c r="O11" s="45">
        <v>695.0</v>
      </c>
      <c r="P11" t="str">
        <f>$B$11</f>
        <v>Thread</v>
      </c>
      <c r="R11" s="45">
        <v>455.0</v>
      </c>
      <c r="S11" t="str">
        <f>$B$11</f>
        <v>Thread</v>
      </c>
      <c r="U11" s="43">
        <v>0.0</v>
      </c>
      <c r="V11" t="str">
        <f>$B$11</f>
        <v>Thread</v>
      </c>
      <c r="X11" s="43">
        <v>0.0</v>
      </c>
      <c r="Y11" t="str">
        <f>$B$11</f>
        <v>Thread</v>
      </c>
      <c r="AA11" s="43">
        <v>0.0</v>
      </c>
      <c r="AB11" t="str">
        <f>$B$11</f>
        <v>Thread</v>
      </c>
      <c r="AD11" s="43">
        <v>0.0</v>
      </c>
      <c r="AE11" t="str">
        <f>$B$11</f>
        <v>Thread</v>
      </c>
      <c r="AG11" s="43">
        <v>200.0</v>
      </c>
      <c r="AH11" t="str">
        <f>$B$11</f>
        <v>Thread</v>
      </c>
      <c r="AJ11" s="43">
        <v>0.0</v>
      </c>
      <c r="AK11" t="str">
        <f>$B$11</f>
        <v>Thread</v>
      </c>
      <c r="AM11" s="43">
        <v>0.0</v>
      </c>
      <c r="AN11" t="str">
        <f>$B$11</f>
        <v>Thread</v>
      </c>
      <c r="AP11" s="43">
        <v>3200.0</v>
      </c>
      <c r="AQ11" t="str">
        <f>$B$11</f>
        <v>Thread</v>
      </c>
      <c r="AS11" s="43">
        <v>3200.0</v>
      </c>
      <c r="AT11" t="str">
        <f>$B$11</f>
        <v>Thread</v>
      </c>
      <c r="AV11" s="43">
        <v>0.0</v>
      </c>
      <c r="AW11" t="str">
        <f>$B$11</f>
        <v>Thread</v>
      </c>
      <c r="AY11" s="43">
        <v>0.0</v>
      </c>
      <c r="AZ11" t="str">
        <f>$B$11</f>
        <v>Thread</v>
      </c>
      <c r="BB11" s="43">
        <v>3900.0</v>
      </c>
      <c r="BC11" t="str">
        <f>$B$11</f>
        <v>Thread</v>
      </c>
      <c r="BE11" s="43">
        <v>0.0</v>
      </c>
    </row>
    <row r="12">
      <c r="A12" s="41">
        <f>HLOOKUP($A$7,$D$6:$BE$35,7,FALSE)</f>
        <v>0</v>
      </c>
      <c r="B12" s="46" t="s">
        <v>55</v>
      </c>
      <c r="C12" s="44">
        <v>800.0</v>
      </c>
      <c r="D12" t="str">
        <f>$B$12</f>
        <v>Stem</v>
      </c>
      <c r="F12" s="45">
        <v>1000.0</v>
      </c>
      <c r="G12" t="str">
        <f>$B$12</f>
        <v>Stem</v>
      </c>
      <c r="I12" s="45">
        <v>1425.0</v>
      </c>
      <c r="J12" t="str">
        <f>$B$12</f>
        <v>Stem</v>
      </c>
      <c r="L12" s="45">
        <v>100.0</v>
      </c>
      <c r="M12" t="str">
        <f>$B$12</f>
        <v>Stem</v>
      </c>
      <c r="O12" s="45">
        <v>600.0</v>
      </c>
      <c r="P12" t="str">
        <f>$B$12</f>
        <v>Stem</v>
      </c>
      <c r="R12" s="45">
        <v>400.0</v>
      </c>
      <c r="S12" t="str">
        <f>$B$12</f>
        <v>Stem</v>
      </c>
      <c r="U12" s="43">
        <v>0.0</v>
      </c>
      <c r="V12" t="str">
        <f>$B$12</f>
        <v>Stem</v>
      </c>
      <c r="X12" s="43">
        <v>75.0</v>
      </c>
      <c r="Y12" t="str">
        <f>$B$12</f>
        <v>Stem</v>
      </c>
      <c r="AA12" s="43">
        <v>0.0</v>
      </c>
      <c r="AB12" t="str">
        <f>$B$12</f>
        <v>Stem</v>
      </c>
      <c r="AD12" s="43">
        <v>0.0</v>
      </c>
      <c r="AE12" t="str">
        <f>$B$12</f>
        <v>Stem</v>
      </c>
      <c r="AG12" s="43">
        <v>25.0</v>
      </c>
      <c r="AH12" t="str">
        <f>$B$12</f>
        <v>Stem</v>
      </c>
      <c r="AJ12" s="43">
        <v>50.0</v>
      </c>
      <c r="AK12" t="str">
        <f>$B$12</f>
        <v>Stem</v>
      </c>
      <c r="AM12" s="43">
        <v>100.0</v>
      </c>
      <c r="AN12" t="str">
        <f>$B$12</f>
        <v>Stem</v>
      </c>
      <c r="AP12" s="43">
        <v>0.0</v>
      </c>
      <c r="AQ12" t="str">
        <f>$B$12</f>
        <v>Stem</v>
      </c>
      <c r="AS12" s="43">
        <v>0.0</v>
      </c>
      <c r="AT12" t="str">
        <f>$B$12</f>
        <v>Stem</v>
      </c>
      <c r="AV12" s="43">
        <v>0.0</v>
      </c>
      <c r="AW12" t="str">
        <f>$B$12</f>
        <v>Stem</v>
      </c>
      <c r="AY12" s="43">
        <v>75.0</v>
      </c>
      <c r="AZ12" t="str">
        <f>$B$12</f>
        <v>Stem</v>
      </c>
      <c r="BB12" s="43">
        <v>350.0</v>
      </c>
      <c r="BC12" t="str">
        <f>$B$12</f>
        <v>Stem</v>
      </c>
      <c r="BE12" s="43">
        <v>1715.0</v>
      </c>
    </row>
    <row r="13">
      <c r="A13" s="41">
        <f>HLOOKUP($A$7,$D$6:$BE$35,8,FALSE)</f>
        <v>0</v>
      </c>
      <c r="B13" s="46" t="s">
        <v>56</v>
      </c>
      <c r="C13" s="44">
        <v>800.0</v>
      </c>
      <c r="D13" t="str">
        <f>$B$13</f>
        <v>Coal</v>
      </c>
      <c r="F13" s="45">
        <v>0.0</v>
      </c>
      <c r="G13" t="str">
        <f>$B$13</f>
        <v>Coal</v>
      </c>
      <c r="I13" s="45">
        <v>0.0</v>
      </c>
      <c r="J13" t="str">
        <f>$B$13</f>
        <v>Coal</v>
      </c>
      <c r="L13" s="45">
        <v>1046.0</v>
      </c>
      <c r="M13" t="str">
        <f>$B$13</f>
        <v>Coal</v>
      </c>
      <c r="O13" s="45">
        <v>492.0</v>
      </c>
      <c r="P13" t="str">
        <f>$B$13</f>
        <v>Coal</v>
      </c>
      <c r="R13" s="45">
        <v>260.0</v>
      </c>
      <c r="S13" t="str">
        <f>$B$13</f>
        <v>Coal</v>
      </c>
      <c r="U13" s="43">
        <v>720.0</v>
      </c>
      <c r="V13" t="str">
        <f>$B$13</f>
        <v>Coal</v>
      </c>
      <c r="X13" s="43">
        <v>45.0</v>
      </c>
      <c r="Y13" t="str">
        <f>$B$13</f>
        <v>Coal</v>
      </c>
      <c r="AA13" s="43">
        <v>0.0</v>
      </c>
      <c r="AB13" t="str">
        <f>$B$13</f>
        <v>Coal</v>
      </c>
      <c r="AD13" s="43">
        <v>0.0</v>
      </c>
      <c r="AE13" t="str">
        <f>$B$13</f>
        <v>Coal</v>
      </c>
      <c r="AG13" s="43">
        <v>175.0</v>
      </c>
      <c r="AH13" t="str">
        <f>$B$13</f>
        <v>Coal</v>
      </c>
      <c r="AJ13" s="43">
        <v>30.0</v>
      </c>
      <c r="AK13" t="str">
        <f>$B$13</f>
        <v>Coal</v>
      </c>
      <c r="AM13" s="43">
        <v>60.0</v>
      </c>
      <c r="AN13" t="str">
        <f>$B$13</f>
        <v>Coal</v>
      </c>
      <c r="AP13" s="43">
        <v>128.0</v>
      </c>
      <c r="AQ13" t="str">
        <f>$B$13</f>
        <v>Coal</v>
      </c>
      <c r="AS13" s="43">
        <v>128.0</v>
      </c>
      <c r="AT13" t="str">
        <f>$B$13</f>
        <v>Coal</v>
      </c>
      <c r="AV13" s="43">
        <v>1080.0</v>
      </c>
      <c r="AW13" t="str">
        <f>$B$13</f>
        <v>Coal</v>
      </c>
      <c r="AY13" s="43">
        <v>375.0</v>
      </c>
      <c r="AZ13" t="str">
        <f>$B$13</f>
        <v>Coal</v>
      </c>
      <c r="BB13" s="43">
        <v>772.0</v>
      </c>
      <c r="BC13" t="str">
        <f>$B$13</f>
        <v>Coal</v>
      </c>
      <c r="BE13" s="43">
        <v>0.0</v>
      </c>
    </row>
    <row r="14">
      <c r="A14" s="41">
        <f>HLOOKUP($A$7,$D$6:$BE$35,9,FALSE)</f>
        <v>0</v>
      </c>
      <c r="B14" s="46" t="s">
        <v>57</v>
      </c>
      <c r="C14" s="44">
        <v>800.0</v>
      </c>
      <c r="D14" t="str">
        <f>$B$14</f>
        <v>Charcoal</v>
      </c>
      <c r="F14" s="45">
        <v>0.0</v>
      </c>
      <c r="G14" t="str">
        <f>$B$14</f>
        <v>Charcoal</v>
      </c>
      <c r="I14" s="45">
        <v>0.0</v>
      </c>
      <c r="J14" t="str">
        <f>$B$14</f>
        <v>Charcoal</v>
      </c>
      <c r="L14" s="45">
        <v>1026.0</v>
      </c>
      <c r="M14" t="str">
        <f>$B$14</f>
        <v>Charcoal</v>
      </c>
      <c r="O14" s="45">
        <v>108.0</v>
      </c>
      <c r="P14" t="str">
        <f>$B$14</f>
        <v>Charcoal</v>
      </c>
      <c r="R14" s="45">
        <v>0.0</v>
      </c>
      <c r="S14" t="str">
        <f>$B$14</f>
        <v>Charcoal</v>
      </c>
      <c r="U14" s="43">
        <v>720.0</v>
      </c>
      <c r="V14" t="str">
        <f>$B$14</f>
        <v>Charcoal</v>
      </c>
      <c r="X14" s="43">
        <v>45.0</v>
      </c>
      <c r="Y14" t="str">
        <f>$B$14</f>
        <v>Charcoal</v>
      </c>
      <c r="AA14" s="43">
        <v>0.0</v>
      </c>
      <c r="AB14" t="str">
        <f>$B$14</f>
        <v>Charcoal</v>
      </c>
      <c r="AD14" s="43">
        <v>0.0</v>
      </c>
      <c r="AE14" t="str">
        <f>$B$14</f>
        <v>Charcoal</v>
      </c>
      <c r="AG14" s="43">
        <v>15.0</v>
      </c>
      <c r="AH14" t="str">
        <f>$B$14</f>
        <v>Charcoal</v>
      </c>
      <c r="AJ14" s="43">
        <v>30.0</v>
      </c>
      <c r="AK14" t="str">
        <f>$B$14</f>
        <v>Charcoal</v>
      </c>
      <c r="AM14" s="43">
        <v>60.0</v>
      </c>
      <c r="AN14" t="str">
        <f>$B$14</f>
        <v>Charcoal</v>
      </c>
      <c r="AP14" s="43">
        <v>0.0</v>
      </c>
      <c r="AQ14" t="str">
        <f>$B$14</f>
        <v>Charcoal</v>
      </c>
      <c r="AS14" s="43">
        <v>0.0</v>
      </c>
      <c r="AT14" t="str">
        <f>$B$14</f>
        <v>Charcoal</v>
      </c>
      <c r="AV14" s="43">
        <v>1080.0</v>
      </c>
      <c r="AW14" t="str">
        <f>$B$14</f>
        <v>Charcoal</v>
      </c>
      <c r="AY14" s="43">
        <v>360.0</v>
      </c>
      <c r="AZ14" t="str">
        <f>$B$14</f>
        <v>Charcoal</v>
      </c>
      <c r="BB14" s="43">
        <v>702.0</v>
      </c>
      <c r="BC14" t="str">
        <f>$B$14</f>
        <v>Charcoal</v>
      </c>
      <c r="BE14" s="43">
        <v>369.0</v>
      </c>
    </row>
    <row r="15">
      <c r="A15" s="41">
        <f>HLOOKUP($A$7,$D$6:$BE$35,10,FALSE)</f>
        <v>0</v>
      </c>
      <c r="B15" s="46" t="s">
        <v>58</v>
      </c>
      <c r="C15" s="44">
        <v>600.0</v>
      </c>
      <c r="D15" t="str">
        <f>$B$15</f>
        <v>Suede</v>
      </c>
      <c r="F15" s="45">
        <v>120.0</v>
      </c>
      <c r="G15" t="str">
        <f>$B$15</f>
        <v>Suede</v>
      </c>
      <c r="I15" s="45">
        <v>171.0</v>
      </c>
      <c r="J15" t="str">
        <f>$B$15</f>
        <v>Suede</v>
      </c>
      <c r="L15" s="45">
        <v>0.0</v>
      </c>
      <c r="M15" t="str">
        <f>$B$15</f>
        <v>Suede</v>
      </c>
      <c r="O15" s="45">
        <v>0.0</v>
      </c>
      <c r="P15" t="str">
        <f>$B$15</f>
        <v>Suede</v>
      </c>
      <c r="R15" s="45">
        <v>0.0</v>
      </c>
      <c r="S15" t="str">
        <f>$B$15</f>
        <v>Suede</v>
      </c>
      <c r="U15" s="43">
        <v>120.0</v>
      </c>
      <c r="V15" t="str">
        <f>$B$15</f>
        <v>Suede</v>
      </c>
      <c r="X15" s="43">
        <v>0.0</v>
      </c>
      <c r="Y15" t="str">
        <f>$B$15</f>
        <v>Suede</v>
      </c>
      <c r="AA15" s="43">
        <v>0.0</v>
      </c>
      <c r="AB15" t="str">
        <f>$B$15</f>
        <v>Suede</v>
      </c>
      <c r="AD15" s="43">
        <v>0.0</v>
      </c>
      <c r="AE15" t="str">
        <f>$B$15</f>
        <v>Suede</v>
      </c>
      <c r="AG15" s="43">
        <v>0.0</v>
      </c>
      <c r="AH15" t="str">
        <f>$B$15</f>
        <v>Suede</v>
      </c>
      <c r="AJ15" s="43">
        <v>0.0</v>
      </c>
      <c r="AK15" t="str">
        <f>$B$15</f>
        <v>Suede</v>
      </c>
      <c r="AM15" s="43">
        <v>0.0</v>
      </c>
      <c r="AN15" t="str">
        <f>$B$15</f>
        <v>Suede</v>
      </c>
      <c r="AP15" s="43">
        <v>12.0</v>
      </c>
      <c r="AQ15" t="str">
        <f>$B$15</f>
        <v>Suede</v>
      </c>
      <c r="AS15" s="43">
        <v>12.0</v>
      </c>
      <c r="AT15" t="str">
        <f>$B$15</f>
        <v>Suede</v>
      </c>
      <c r="AV15" s="43">
        <v>180.0</v>
      </c>
      <c r="AW15" t="str">
        <f>$B$15</f>
        <v>Suede</v>
      </c>
      <c r="AY15" s="43">
        <v>0.0</v>
      </c>
      <c r="AZ15" t="str">
        <f>$B$15</f>
        <v>Suede</v>
      </c>
      <c r="BB15" s="43">
        <v>0.0</v>
      </c>
      <c r="BC15" t="str">
        <f>$B$15</f>
        <v>Suede</v>
      </c>
      <c r="BE15" s="43">
        <v>0.0</v>
      </c>
    </row>
    <row r="16">
      <c r="A16" s="41">
        <f>HLOOKUP($A$7,$D$6:$BE$35,11,FALSE)</f>
        <v>0</v>
      </c>
      <c r="B16" s="46" t="s">
        <v>59</v>
      </c>
      <c r="C16" s="44">
        <v>1000.0</v>
      </c>
      <c r="D16" t="str">
        <f>$B$16</f>
        <v>Silver Nugget</v>
      </c>
      <c r="F16" s="45">
        <v>0.0</v>
      </c>
      <c r="G16" t="str">
        <f>$B$16</f>
        <v>Silver Nugget</v>
      </c>
      <c r="I16" s="45">
        <v>0.0</v>
      </c>
      <c r="J16" t="str">
        <f>$B$16</f>
        <v>Silver Nugget</v>
      </c>
      <c r="L16" s="45">
        <v>0.0</v>
      </c>
      <c r="M16" t="str">
        <f>$B$16</f>
        <v>Silver Nugget</v>
      </c>
      <c r="O16" s="45">
        <v>45.0</v>
      </c>
      <c r="P16" t="str">
        <f>$B$16</f>
        <v>Silver Nugget</v>
      </c>
      <c r="R16" s="45">
        <v>30.0</v>
      </c>
      <c r="S16" t="str">
        <f>$B$16</f>
        <v>Silver Nugget</v>
      </c>
      <c r="U16" s="43">
        <v>0.0</v>
      </c>
      <c r="V16" t="str">
        <f>$B$16</f>
        <v>Silver Nugget</v>
      </c>
      <c r="X16" s="43">
        <v>30.0</v>
      </c>
      <c r="Y16" t="str">
        <f>$B$16</f>
        <v>Silver Nugget</v>
      </c>
      <c r="AA16" s="43">
        <v>0.0</v>
      </c>
      <c r="AB16" t="str">
        <f>$B$16</f>
        <v>Silver Nugget</v>
      </c>
      <c r="AD16" s="43">
        <v>0.0</v>
      </c>
      <c r="AE16" t="str">
        <f>$B$16</f>
        <v>Silver Nugget</v>
      </c>
      <c r="AG16" s="43">
        <v>10.0</v>
      </c>
      <c r="AH16" t="str">
        <f>$B$16</f>
        <v>Silver Nugget</v>
      </c>
      <c r="AJ16" s="43">
        <v>20.0</v>
      </c>
      <c r="AK16" t="str">
        <f>$B$16</f>
        <v>Silver Nugget</v>
      </c>
      <c r="AM16" s="43">
        <v>40.0</v>
      </c>
      <c r="AN16" t="str">
        <f>$B$16</f>
        <v>Silver Nugget</v>
      </c>
      <c r="AP16" s="43">
        <v>0.0</v>
      </c>
      <c r="AQ16" t="str">
        <f>$B$16</f>
        <v>Silver Nugget</v>
      </c>
      <c r="AS16" s="43">
        <v>0.0</v>
      </c>
      <c r="AT16" t="str">
        <f>$B$16</f>
        <v>Silver Nugget</v>
      </c>
      <c r="AV16" s="43">
        <v>0.0</v>
      </c>
      <c r="AW16" t="str">
        <f>$B$16</f>
        <v>Silver Nugget</v>
      </c>
      <c r="AY16" s="43">
        <v>0.0</v>
      </c>
      <c r="AZ16" t="str">
        <f>$B$16</f>
        <v>Silver Nugget</v>
      </c>
      <c r="BB16" s="43">
        <v>0.0</v>
      </c>
      <c r="BC16" t="str">
        <f>$B$16</f>
        <v>Silver Nugget</v>
      </c>
      <c r="BE16" s="43">
        <v>0.0</v>
      </c>
    </row>
    <row r="17">
      <c r="A17" s="41">
        <f>HLOOKUP($A$7,$D$6:$BE$35,12,FALSE)</f>
        <v>0</v>
      </c>
      <c r="B17" s="8" t="s">
        <v>60</v>
      </c>
      <c r="C17" s="44">
        <v>6000.0</v>
      </c>
      <c r="D17" t="str">
        <f>$B$17</f>
        <v>Mithril Ore</v>
      </c>
      <c r="F17" s="45">
        <v>200.0</v>
      </c>
      <c r="G17" t="str">
        <f>$B$17</f>
        <v>Mithril Ore</v>
      </c>
      <c r="I17" s="45">
        <v>285.0</v>
      </c>
      <c r="J17" t="str">
        <f>$B$17</f>
        <v>Mithril Ore</v>
      </c>
      <c r="L17" s="45">
        <v>114.0</v>
      </c>
      <c r="M17" t="str">
        <f>$B$17</f>
        <v>Mithril Ore</v>
      </c>
      <c r="O17" s="45">
        <v>0.0</v>
      </c>
      <c r="P17" t="str">
        <f>$B$17</f>
        <v>Mithril Ore</v>
      </c>
      <c r="R17" s="45">
        <v>0.0</v>
      </c>
      <c r="S17" t="str">
        <f>$B$17</f>
        <v>Mithril Ore</v>
      </c>
      <c r="U17" s="43">
        <v>160.0</v>
      </c>
      <c r="V17" t="str">
        <f>$B$17</f>
        <v>Mithril Ore</v>
      </c>
      <c r="X17" s="43">
        <v>66.0</v>
      </c>
      <c r="Y17" t="str">
        <f>$B$17</f>
        <v>Mithril Ore</v>
      </c>
      <c r="AA17" s="43">
        <v>0.0</v>
      </c>
      <c r="AB17" t="str">
        <f>$B$17</f>
        <v>Mithril Ore</v>
      </c>
      <c r="AD17" s="43">
        <v>0.0</v>
      </c>
      <c r="AE17" t="str">
        <f>$B$17</f>
        <v>Mithril Ore</v>
      </c>
      <c r="AG17" s="43">
        <v>10.0</v>
      </c>
      <c r="AH17" t="str">
        <f>$B$17</f>
        <v>Mithril Ore</v>
      </c>
      <c r="AJ17" s="43">
        <v>44.0</v>
      </c>
      <c r="AK17" t="str">
        <f>$B$17</f>
        <v>Mithril Ore</v>
      </c>
      <c r="AM17" s="43">
        <v>109.0</v>
      </c>
      <c r="AN17" t="str">
        <f>$B$17</f>
        <v>Mithril Ore</v>
      </c>
      <c r="AP17" s="43">
        <v>0.0</v>
      </c>
      <c r="AQ17" t="str">
        <f>$B$17</f>
        <v>Mithril Ore</v>
      </c>
      <c r="AS17" s="43">
        <v>0.0</v>
      </c>
      <c r="AT17" t="str">
        <f>$B$17</f>
        <v>Mithril Ore</v>
      </c>
      <c r="AV17" s="43">
        <v>120.0</v>
      </c>
      <c r="AW17" t="str">
        <f>$B$17</f>
        <v>Mithril Ore</v>
      </c>
      <c r="AY17" s="43">
        <v>80.0</v>
      </c>
      <c r="AZ17" t="str">
        <f>$B$17</f>
        <v>Mithril Ore</v>
      </c>
      <c r="BB17" s="43">
        <v>546.0</v>
      </c>
      <c r="BC17" t="str">
        <f>$B$17</f>
        <v>Mithril Ore</v>
      </c>
      <c r="BE17" s="43">
        <v>82.0</v>
      </c>
    </row>
    <row r="18">
      <c r="A18" s="41">
        <f>HLOOKUP($A$7,$D$6:$BE$35,13,FALSE)</f>
        <v>0</v>
      </c>
      <c r="B18" s="8" t="s">
        <v>61</v>
      </c>
      <c r="C18" s="44">
        <v>450.0</v>
      </c>
      <c r="D18" t="str">
        <f>$B$18</f>
        <v>Iron Ore</v>
      </c>
      <c r="F18" s="45">
        <v>2000.0</v>
      </c>
      <c r="G18" t="str">
        <f>$B$18</f>
        <v>Iron Ore</v>
      </c>
      <c r="I18" s="45">
        <v>2850.0</v>
      </c>
      <c r="J18" t="str">
        <f>$B$18</f>
        <v>Iron Ore</v>
      </c>
      <c r="L18" s="45">
        <v>1160.0</v>
      </c>
      <c r="M18" t="str">
        <f>$B$18</f>
        <v>Iron Ore</v>
      </c>
      <c r="O18" s="45">
        <v>230.0</v>
      </c>
      <c r="P18" t="str">
        <f>$B$18</f>
        <v>Iron Ore</v>
      </c>
      <c r="R18" s="45">
        <v>150.0</v>
      </c>
      <c r="S18" t="str">
        <f>$B$18</f>
        <v>Iron Ore</v>
      </c>
      <c r="U18" s="43">
        <v>1600.0</v>
      </c>
      <c r="V18" t="str">
        <f>$B$18</f>
        <v>Iron Ore</v>
      </c>
      <c r="X18" s="43">
        <v>360.0</v>
      </c>
      <c r="Y18" t="str">
        <f>$B$18</f>
        <v>Iron Ore</v>
      </c>
      <c r="AA18" s="43">
        <v>0.0</v>
      </c>
      <c r="AB18" t="str">
        <f>$B$18</f>
        <v>Iron Ore</v>
      </c>
      <c r="AD18" s="43">
        <v>0.0</v>
      </c>
      <c r="AE18" t="str">
        <f>$B$18</f>
        <v>Iron Ore</v>
      </c>
      <c r="AG18" s="43">
        <v>0.0</v>
      </c>
      <c r="AH18" t="str">
        <f>$B$18</f>
        <v>Iron Ore</v>
      </c>
      <c r="AJ18" s="43">
        <v>240.0</v>
      </c>
      <c r="AK18" t="str">
        <f>$B$18</f>
        <v>Iron Ore</v>
      </c>
      <c r="AM18" s="43">
        <v>690.0</v>
      </c>
      <c r="AN18" t="str">
        <f>$B$18</f>
        <v>Iron Ore</v>
      </c>
      <c r="AP18" s="43">
        <v>1280.0</v>
      </c>
      <c r="AQ18" t="str">
        <f>$B$18</f>
        <v>Iron Ore</v>
      </c>
      <c r="AS18" s="43">
        <v>1280.0</v>
      </c>
      <c r="AT18" t="str">
        <f>$B$18</f>
        <v>Iron Ore</v>
      </c>
      <c r="AV18" s="43">
        <v>1200.0</v>
      </c>
      <c r="AW18" t="str">
        <f>$B$18</f>
        <v>Iron Ore</v>
      </c>
      <c r="AY18" s="43">
        <v>815.0</v>
      </c>
      <c r="AZ18" t="str">
        <f>$B$18</f>
        <v>Iron Ore</v>
      </c>
      <c r="BB18" s="43">
        <v>3580.0</v>
      </c>
      <c r="BC18" t="str">
        <f>$B$18</f>
        <v>Iron Ore</v>
      </c>
      <c r="BE18" s="43">
        <v>2475.0</v>
      </c>
    </row>
    <row r="19">
      <c r="A19" s="41">
        <f>HLOOKUP($A$7,$D$6:$BE$35,14,FALSE)</f>
        <v>0</v>
      </c>
      <c r="B19" s="47" t="s">
        <v>62</v>
      </c>
      <c r="C19" s="44">
        <v>12000.0</v>
      </c>
      <c r="D19" t="str">
        <f>$B$19</f>
        <v>Oriharukon Ore</v>
      </c>
      <c r="F19" s="45">
        <v>0.0</v>
      </c>
      <c r="G19" t="str">
        <f>$B$19</f>
        <v>Oriharukon Ore</v>
      </c>
      <c r="I19" s="45">
        <v>0.0</v>
      </c>
      <c r="J19" t="str">
        <f>$B$19</f>
        <v>Oriharukon Ore</v>
      </c>
      <c r="L19" s="45">
        <v>114.0</v>
      </c>
      <c r="M19" t="str">
        <f>$B$19</f>
        <v>Oriharukon Ore</v>
      </c>
      <c r="O19" s="45">
        <v>12.0</v>
      </c>
      <c r="P19" t="str">
        <f>$B$19</f>
        <v>Oriharukon Ore</v>
      </c>
      <c r="R19" s="45">
        <v>0.0</v>
      </c>
      <c r="S19" t="str">
        <f>$B$19</f>
        <v>Oriharukon Ore</v>
      </c>
      <c r="U19" s="43">
        <v>80.0</v>
      </c>
      <c r="V19" t="str">
        <f>$B$19</f>
        <v>Oriharukon Ore</v>
      </c>
      <c r="X19" s="43">
        <v>0.0</v>
      </c>
      <c r="Y19" t="str">
        <f>$B$19</f>
        <v>Oriharukon Ore</v>
      </c>
      <c r="AA19" s="43">
        <v>0.0</v>
      </c>
      <c r="AB19" t="str">
        <f>$B$19</f>
        <v>Oriharukon Ore</v>
      </c>
      <c r="AD19" s="43">
        <v>0.0</v>
      </c>
      <c r="AE19" t="str">
        <f>$B$19</f>
        <v>Oriharukon Ore</v>
      </c>
      <c r="AG19" s="43">
        <v>0.0</v>
      </c>
      <c r="AH19" t="str">
        <f>$B$19</f>
        <v>Oriharukon Ore</v>
      </c>
      <c r="AJ19" s="43">
        <v>0.0</v>
      </c>
      <c r="AK19" t="str">
        <f>$B$19</f>
        <v>Oriharukon Ore</v>
      </c>
      <c r="AM19" s="43">
        <v>0.0</v>
      </c>
      <c r="AN19" t="str">
        <f>$B$19</f>
        <v>Oriharukon Ore</v>
      </c>
      <c r="AP19" s="43">
        <v>0.0</v>
      </c>
      <c r="AQ19" t="str">
        <f>$B$19</f>
        <v>Oriharukon Ore</v>
      </c>
      <c r="AS19" s="43">
        <v>0.0</v>
      </c>
      <c r="AT19" t="str">
        <f>$B$19</f>
        <v>Oriharukon Ore</v>
      </c>
      <c r="AV19" s="43">
        <v>120.0</v>
      </c>
      <c r="AW19" t="str">
        <f>$B$19</f>
        <v>Oriharukon Ore</v>
      </c>
      <c r="AY19" s="43">
        <v>40.0</v>
      </c>
      <c r="AZ19" t="str">
        <f>$B$19</f>
        <v>Oriharukon Ore</v>
      </c>
      <c r="BB19" s="43">
        <v>78.0</v>
      </c>
      <c r="BC19" t="str">
        <f>$B$19</f>
        <v>Oriharukon Ore</v>
      </c>
      <c r="BE19" s="43">
        <v>41.0</v>
      </c>
    </row>
    <row r="20">
      <c r="A20" s="41">
        <f>HLOOKUP($A$7,$D$6:$BE$35,15,FALSE)</f>
        <v>0</v>
      </c>
      <c r="B20" s="46" t="s">
        <v>63</v>
      </c>
      <c r="C20" s="44">
        <v>12000.0</v>
      </c>
      <c r="D20" t="str">
        <f>$B$20</f>
        <v>Adamnite Nugget</v>
      </c>
      <c r="F20" s="45">
        <v>0.0</v>
      </c>
      <c r="G20" t="str">
        <f>$B$20</f>
        <v>Adamnite Nugget</v>
      </c>
      <c r="I20" s="45">
        <v>0.0</v>
      </c>
      <c r="J20" t="str">
        <f>$B$20</f>
        <v>Adamnite Nugget</v>
      </c>
      <c r="L20" s="45">
        <v>40.0</v>
      </c>
      <c r="M20" t="str">
        <f>$B$20</f>
        <v>Adamnite Nugget</v>
      </c>
      <c r="O20" s="45">
        <v>0.0</v>
      </c>
      <c r="P20" t="str">
        <f>$B$20</f>
        <v>Adamnite Nugget</v>
      </c>
      <c r="R20" s="45">
        <v>0.0</v>
      </c>
      <c r="S20" t="str">
        <f>$B$20</f>
        <v>Adamnite Nugget</v>
      </c>
      <c r="U20" s="43">
        <v>0.0</v>
      </c>
      <c r="V20" t="str">
        <f>$B$20</f>
        <v>Adamnite Nugget</v>
      </c>
      <c r="X20" s="43">
        <v>0.0</v>
      </c>
      <c r="Y20" t="str">
        <f>$B$20</f>
        <v>Adamnite Nugget</v>
      </c>
      <c r="AA20" s="43">
        <v>0.0</v>
      </c>
      <c r="AB20" t="str">
        <f>$B$20</f>
        <v>Adamnite Nugget</v>
      </c>
      <c r="AD20" s="43">
        <v>0.0</v>
      </c>
      <c r="AE20" t="str">
        <f>$B$20</f>
        <v>Adamnite Nugget</v>
      </c>
      <c r="AG20" s="43">
        <v>0.0</v>
      </c>
      <c r="AH20" t="str">
        <f>$B$20</f>
        <v>Adamnite Nugget</v>
      </c>
      <c r="AJ20" s="43">
        <v>0.0</v>
      </c>
      <c r="AK20" t="str">
        <f>$B$20</f>
        <v>Adamnite Nugget</v>
      </c>
      <c r="AM20" s="43">
        <v>0.0</v>
      </c>
      <c r="AN20" t="str">
        <f>$B$20</f>
        <v>Adamnite Nugget</v>
      </c>
      <c r="AP20" s="43">
        <v>0.0</v>
      </c>
      <c r="AQ20" t="str">
        <f>$B$20</f>
        <v>Adamnite Nugget</v>
      </c>
      <c r="AS20" s="43">
        <v>0.0</v>
      </c>
      <c r="AT20" t="str">
        <f>$B$20</f>
        <v>Adamnite Nugget</v>
      </c>
      <c r="AV20" s="43">
        <v>0.0</v>
      </c>
      <c r="AW20" t="str">
        <f>$B$20</f>
        <v>Adamnite Nugget</v>
      </c>
      <c r="AY20" s="43">
        <v>30.0</v>
      </c>
      <c r="AZ20" t="str">
        <f>$B$20</f>
        <v>Adamnite Nugget</v>
      </c>
      <c r="BB20" s="43">
        <v>140.0</v>
      </c>
      <c r="BC20" t="str">
        <f>$B$20</f>
        <v>Adamnite Nugget</v>
      </c>
      <c r="BE20" s="43">
        <v>30.0</v>
      </c>
    </row>
    <row r="21">
      <c r="A21" s="41">
        <f>HLOOKUP($A$7,$D$6:$BE$35,16,FALSE)</f>
        <v>0</v>
      </c>
      <c r="B21" s="46" t="s">
        <v>64</v>
      </c>
      <c r="C21" s="44">
        <v>45000.0</v>
      </c>
      <c r="D21" t="str">
        <f>$B$21</f>
        <v>Enria</v>
      </c>
      <c r="F21" s="45">
        <v>40.0</v>
      </c>
      <c r="G21" t="str">
        <f>$B$21</f>
        <v>Enria</v>
      </c>
      <c r="I21" s="45">
        <v>57.0</v>
      </c>
      <c r="J21" t="str">
        <f>$B$21</f>
        <v>Enria</v>
      </c>
      <c r="L21" s="45">
        <v>67.0</v>
      </c>
      <c r="M21" t="str">
        <f>$B$21</f>
        <v>Enria</v>
      </c>
      <c r="O21" s="45">
        <v>0.0</v>
      </c>
      <c r="P21" t="str">
        <f>$B$21</f>
        <v>Enria</v>
      </c>
      <c r="R21" s="45">
        <v>0.0</v>
      </c>
      <c r="S21" t="str">
        <f>$B$21</f>
        <v>Enria</v>
      </c>
      <c r="U21" s="43">
        <v>40.0</v>
      </c>
      <c r="V21" t="str">
        <f>$B$21</f>
        <v>Enria</v>
      </c>
      <c r="X21" s="43">
        <v>0.0</v>
      </c>
      <c r="Y21" t="str">
        <f>$B$21</f>
        <v>Enria</v>
      </c>
      <c r="AA21" s="43">
        <v>0.0</v>
      </c>
      <c r="AB21" t="str">
        <f>$B$21</f>
        <v>Enria</v>
      </c>
      <c r="AD21" s="43">
        <v>0.0</v>
      </c>
      <c r="AE21" t="str">
        <f>$B$21</f>
        <v>Enria</v>
      </c>
      <c r="AG21" s="43">
        <v>0.0</v>
      </c>
      <c r="AH21" t="str">
        <f>$B$21</f>
        <v>Enria</v>
      </c>
      <c r="AJ21" s="43">
        <v>0.0</v>
      </c>
      <c r="AK21" t="str">
        <f>$B$21</f>
        <v>Enria</v>
      </c>
      <c r="AM21" s="43">
        <v>0.0</v>
      </c>
      <c r="AN21" t="str">
        <f>$B$21</f>
        <v>Enria</v>
      </c>
      <c r="AP21" s="43">
        <v>0.0</v>
      </c>
      <c r="AQ21" t="str">
        <f>$B$21</f>
        <v>Enria</v>
      </c>
      <c r="AS21" s="43">
        <v>0.0</v>
      </c>
      <c r="AT21" t="str">
        <f>$B$21</f>
        <v>Enria</v>
      </c>
      <c r="AV21" s="43">
        <v>60.0</v>
      </c>
      <c r="AW21" t="str">
        <f>$B$21</f>
        <v>Enria</v>
      </c>
      <c r="AY21" s="43">
        <v>40.0</v>
      </c>
      <c r="AZ21" t="str">
        <f>$B$21</f>
        <v>Enria</v>
      </c>
      <c r="BB21" s="43">
        <v>113.0</v>
      </c>
      <c r="BC21" t="str">
        <f>$B$21</f>
        <v>Enria</v>
      </c>
      <c r="BE21" s="43">
        <v>0.0</v>
      </c>
    </row>
    <row r="22">
      <c r="A22" s="41">
        <f>HLOOKUP($A$7,$D$6:$BE$35,17,FALSE)</f>
        <v>0</v>
      </c>
      <c r="B22" s="46" t="s">
        <v>65</v>
      </c>
      <c r="C22" s="44">
        <v>45000.0</v>
      </c>
      <c r="D22" t="str">
        <f>$B$22</f>
        <v>Asofe</v>
      </c>
      <c r="F22" s="45">
        <v>0.0</v>
      </c>
      <c r="G22" t="str">
        <f>$B$22</f>
        <v>Asofe</v>
      </c>
      <c r="I22" s="45">
        <v>0.0</v>
      </c>
      <c r="J22" t="str">
        <f>$B$22</f>
        <v>Asofe</v>
      </c>
      <c r="L22" s="45">
        <v>0.0</v>
      </c>
      <c r="M22" t="str">
        <f>$B$22</f>
        <v>Asofe</v>
      </c>
      <c r="O22" s="45">
        <v>16.0</v>
      </c>
      <c r="P22" t="str">
        <f>$B$22</f>
        <v>Asofe</v>
      </c>
      <c r="R22" s="45">
        <v>16.0</v>
      </c>
      <c r="S22" t="str">
        <f>$B$22</f>
        <v>Asofe</v>
      </c>
      <c r="U22" s="43">
        <v>0.0</v>
      </c>
      <c r="V22" t="str">
        <f>$B$22</f>
        <v>Asofe</v>
      </c>
      <c r="X22" s="43">
        <v>0.0</v>
      </c>
      <c r="Y22" t="str">
        <f>$B$22</f>
        <v>Asofe</v>
      </c>
      <c r="AA22" s="43">
        <v>0.0</v>
      </c>
      <c r="AB22" t="str">
        <f>$B$22</f>
        <v>Asofe</v>
      </c>
      <c r="AD22" s="43">
        <v>0.0</v>
      </c>
      <c r="AE22" t="str">
        <f>$B$22</f>
        <v>Asofe</v>
      </c>
      <c r="AG22" s="43">
        <v>0.0</v>
      </c>
      <c r="AH22" t="str">
        <f>$B$22</f>
        <v>Asofe</v>
      </c>
      <c r="AJ22" s="43">
        <v>16.0</v>
      </c>
      <c r="AK22" t="str">
        <f>$B$22</f>
        <v>Asofe</v>
      </c>
      <c r="AM22" s="43">
        <v>66.0</v>
      </c>
      <c r="AN22" t="str">
        <f>$B$22</f>
        <v>Asofe</v>
      </c>
      <c r="AP22" s="43">
        <v>4.0</v>
      </c>
      <c r="AQ22" t="str">
        <f>$B$22</f>
        <v>Asofe</v>
      </c>
      <c r="AS22" s="43">
        <v>4.0</v>
      </c>
      <c r="AT22" t="str">
        <f>$B$22</f>
        <v>Asofe</v>
      </c>
      <c r="AV22" s="43">
        <v>0.0</v>
      </c>
      <c r="AW22" t="str">
        <f>$B$22</f>
        <v>Asofe</v>
      </c>
      <c r="AY22" s="43">
        <v>0.0</v>
      </c>
      <c r="AZ22" t="str">
        <f>$B$22</f>
        <v>Asofe</v>
      </c>
      <c r="BB22" s="43">
        <v>0.0</v>
      </c>
      <c r="BC22" t="str">
        <f>$B$22</f>
        <v>Asofe</v>
      </c>
      <c r="BE22" s="43">
        <v>0.0</v>
      </c>
    </row>
    <row r="23">
      <c r="A23" s="41">
        <f>HLOOKUP($A$7,$D$6:$BE$35,18,FALSE)</f>
        <v>0</v>
      </c>
      <c r="B23" s="46" t="s">
        <v>66</v>
      </c>
      <c r="C23" s="44"/>
      <c r="D23" t="str">
        <f>$B$23</f>
        <v>Mold Lubricant</v>
      </c>
      <c r="F23" s="45">
        <v>0.0</v>
      </c>
      <c r="G23" t="str">
        <f>$B$23</f>
        <v>Mold Lubricant</v>
      </c>
      <c r="I23" s="45">
        <v>30.0</v>
      </c>
      <c r="J23" t="str">
        <f>$B$23</f>
        <v>Mold Lubricant</v>
      </c>
      <c r="L23" s="45">
        <v>0.0</v>
      </c>
      <c r="M23" t="str">
        <f>$B$23</f>
        <v>Mold Lubricant</v>
      </c>
      <c r="O23" s="45">
        <v>0.0</v>
      </c>
      <c r="P23" t="str">
        <f>$B$23</f>
        <v>Mold Lubricant</v>
      </c>
      <c r="R23" s="45">
        <v>0.0</v>
      </c>
      <c r="S23" t="str">
        <f>$B$23</f>
        <v>Mold Lubricant</v>
      </c>
      <c r="U23" s="43">
        <v>0.0</v>
      </c>
      <c r="V23" t="str">
        <f>$B$23</f>
        <v>Mold Lubricant</v>
      </c>
      <c r="X23" s="43">
        <v>0.0</v>
      </c>
      <c r="Y23" t="str">
        <f>$B$23</f>
        <v>Mold Lubricant</v>
      </c>
      <c r="AA23" s="43">
        <v>0.0</v>
      </c>
      <c r="AB23" t="str">
        <f>$B$23</f>
        <v>Mold Lubricant</v>
      </c>
      <c r="AD23" s="43">
        <v>0.0</v>
      </c>
      <c r="AE23" t="str">
        <f>$B$23</f>
        <v>Mold Lubricant</v>
      </c>
      <c r="AG23" s="43">
        <v>0.0</v>
      </c>
      <c r="AH23" t="str">
        <f>$B$23</f>
        <v>Mold Lubricant</v>
      </c>
      <c r="AJ23" s="43">
        <v>0.0</v>
      </c>
      <c r="AK23" t="str">
        <f>$B$23</f>
        <v>Mold Lubricant</v>
      </c>
      <c r="AM23" s="43">
        <v>0.0</v>
      </c>
      <c r="AN23" t="str">
        <f>$B$23</f>
        <v>Mold Lubricant</v>
      </c>
      <c r="AP23" s="43">
        <v>0.0</v>
      </c>
      <c r="AQ23" t="str">
        <f>$B$23</f>
        <v>Mold Lubricant</v>
      </c>
      <c r="AS23" s="43">
        <v>0.0</v>
      </c>
      <c r="AT23" t="str">
        <f>$B$23</f>
        <v>Mold Lubricant</v>
      </c>
      <c r="AV23" s="43">
        <v>0.0</v>
      </c>
      <c r="AW23" t="str">
        <f>$B$23</f>
        <v>Mold Lubricant</v>
      </c>
      <c r="AY23" s="43">
        <v>0.0</v>
      </c>
      <c r="AZ23" t="str">
        <f>$B$23</f>
        <v>Mold Lubricant</v>
      </c>
      <c r="BB23" s="43">
        <v>0.0</v>
      </c>
      <c r="BC23" t="str">
        <f>$B$23</f>
        <v>Mold Lubricant</v>
      </c>
      <c r="BE23" s="43">
        <v>0.0</v>
      </c>
    </row>
    <row r="24">
      <c r="A24" s="41">
        <f>HLOOKUP($A$7,$D$6:$BE$35,19,FALSE)</f>
        <v>0</v>
      </c>
      <c r="B24" s="8" t="s">
        <v>67</v>
      </c>
      <c r="C24" s="44">
        <v>50000.0</v>
      </c>
      <c r="D24" t="str">
        <f>$B$24</f>
        <v>Mold Hardener</v>
      </c>
      <c r="F24" s="45">
        <v>0.0</v>
      </c>
      <c r="G24" t="str">
        <f>$B$24</f>
        <v>Mold Hardener</v>
      </c>
      <c r="I24" s="45">
        <v>30.0</v>
      </c>
      <c r="J24" t="str">
        <f>$B$24</f>
        <v>Mold Hardener</v>
      </c>
      <c r="L24" s="45">
        <v>40.0</v>
      </c>
      <c r="M24" t="str">
        <f>$B$24</f>
        <v>Mold Hardener</v>
      </c>
      <c r="O24" s="45">
        <v>0.0</v>
      </c>
      <c r="P24" t="str">
        <f>$B$24</f>
        <v>Mold Hardener</v>
      </c>
      <c r="R24" s="45">
        <v>0.0</v>
      </c>
      <c r="S24" t="str">
        <f>$B$24</f>
        <v>Mold Hardener</v>
      </c>
      <c r="U24" s="43">
        <v>0.0</v>
      </c>
      <c r="V24" t="str">
        <f>$B$24</f>
        <v>Mold Hardener</v>
      </c>
      <c r="X24" s="43">
        <v>0.0</v>
      </c>
      <c r="Y24" t="str">
        <f>$B$24</f>
        <v>Mold Hardener</v>
      </c>
      <c r="AA24" s="43">
        <v>0.0</v>
      </c>
      <c r="AB24" t="str">
        <f>$B$24</f>
        <v>Mold Hardener</v>
      </c>
      <c r="AD24" s="43">
        <v>0.0</v>
      </c>
      <c r="AE24" t="str">
        <f>$B$24</f>
        <v>Mold Hardener</v>
      </c>
      <c r="AG24" s="43">
        <v>0.0</v>
      </c>
      <c r="AH24" t="str">
        <f>$B$24</f>
        <v>Mold Hardener</v>
      </c>
      <c r="AJ24" s="43">
        <v>0.0</v>
      </c>
      <c r="AK24" t="str">
        <f>$B$24</f>
        <v>Mold Hardener</v>
      </c>
      <c r="AM24" s="43">
        <v>0.0</v>
      </c>
      <c r="AN24" t="str">
        <f>$B$24</f>
        <v>Mold Hardener</v>
      </c>
      <c r="AP24" s="43">
        <v>0.0</v>
      </c>
      <c r="AQ24" t="str">
        <f>$B$24</f>
        <v>Mold Hardener</v>
      </c>
      <c r="AS24" s="43">
        <v>0.0</v>
      </c>
      <c r="AT24" t="str">
        <f>$B$24</f>
        <v>Mold Hardener</v>
      </c>
      <c r="AV24" s="43">
        <v>0.0</v>
      </c>
      <c r="AW24" t="str">
        <f>$B$24</f>
        <v>Mold Hardener</v>
      </c>
      <c r="AY24" s="43">
        <v>0.0</v>
      </c>
      <c r="AZ24" t="str">
        <f>$B$24</f>
        <v>Mold Hardener</v>
      </c>
      <c r="BB24" s="43">
        <v>140.0</v>
      </c>
      <c r="BC24" t="str">
        <f>$B$24</f>
        <v>Mold Hardener</v>
      </c>
      <c r="BE24" s="43">
        <v>0.0</v>
      </c>
    </row>
    <row r="25">
      <c r="A25" s="41">
        <f>HLOOKUP($A$7,$D$6:$BE$35,20,FALSE)</f>
        <v>0</v>
      </c>
      <c r="B25" s="8" t="s">
        <v>68</v>
      </c>
      <c r="C25" s="44">
        <v>50000.0</v>
      </c>
      <c r="D25" t="str">
        <f>$B$25</f>
        <v>Mold Glue</v>
      </c>
      <c r="F25" s="45">
        <v>0.0</v>
      </c>
      <c r="G25" t="str">
        <f>$B$25</f>
        <v>Mold Glue</v>
      </c>
      <c r="I25" s="45">
        <v>0.0</v>
      </c>
      <c r="J25" t="str">
        <f>$B$25</f>
        <v>Mold Glue</v>
      </c>
      <c r="L25" s="45">
        <v>0.0</v>
      </c>
      <c r="M25" t="str">
        <f>$B$25</f>
        <v>Mold Glue</v>
      </c>
      <c r="O25" s="45">
        <v>0.0</v>
      </c>
      <c r="P25" t="str">
        <f>$B$25</f>
        <v>Mold Glue</v>
      </c>
      <c r="R25" s="45">
        <v>0.0</v>
      </c>
      <c r="S25" t="str">
        <f>$B$25</f>
        <v>Mold Glue</v>
      </c>
      <c r="U25" s="43">
        <v>0.0</v>
      </c>
      <c r="V25" t="str">
        <f>$B$25</f>
        <v>Mold Glue</v>
      </c>
      <c r="X25" s="43">
        <v>0.0</v>
      </c>
      <c r="Y25" t="str">
        <f>$B$25</f>
        <v>Mold Glue</v>
      </c>
      <c r="AA25" s="43">
        <v>0.0</v>
      </c>
      <c r="AB25" t="str">
        <f>$B$25</f>
        <v>Mold Glue</v>
      </c>
      <c r="AD25" s="43">
        <v>0.0</v>
      </c>
      <c r="AE25" t="str">
        <f>$B$25</f>
        <v>Mold Glue</v>
      </c>
      <c r="AG25" s="43">
        <v>0.0</v>
      </c>
      <c r="AH25" t="str">
        <f>$B$25</f>
        <v>Mold Glue</v>
      </c>
      <c r="AJ25" s="43">
        <v>0.0</v>
      </c>
      <c r="AK25" t="str">
        <f>$B$25</f>
        <v>Mold Glue</v>
      </c>
      <c r="AM25" s="43">
        <v>40.0</v>
      </c>
      <c r="AN25" t="str">
        <f>$B$25</f>
        <v>Mold Glue</v>
      </c>
      <c r="AP25" s="43">
        <v>0.0</v>
      </c>
      <c r="AQ25" t="str">
        <f>$B$25</f>
        <v>Mold Glue</v>
      </c>
      <c r="AS25" s="43">
        <v>0.0</v>
      </c>
      <c r="AT25" t="str">
        <f>$B$25</f>
        <v>Mold Glue</v>
      </c>
      <c r="AV25" s="43">
        <v>0.0</v>
      </c>
      <c r="AW25" t="str">
        <f>$B$25</f>
        <v>Mold Glue</v>
      </c>
      <c r="AY25" s="43">
        <v>0.0</v>
      </c>
      <c r="AZ25" t="str">
        <f>$B$25</f>
        <v>Mold Glue</v>
      </c>
      <c r="BB25" s="43">
        <v>0.0</v>
      </c>
      <c r="BC25" t="str">
        <f>$B$25</f>
        <v>Mold Glue</v>
      </c>
      <c r="BE25" s="43">
        <v>0.0</v>
      </c>
    </row>
    <row r="26">
      <c r="A26" s="41">
        <f>HLOOKUP($A$7,$D$6:$BE$35,21,FALSE)</f>
        <v>0</v>
      </c>
      <c r="B26" s="8" t="s">
        <v>69</v>
      </c>
      <c r="C26" s="44">
        <v>35000.0</v>
      </c>
      <c r="D26" t="str">
        <f>$B$26</f>
        <v>Stone of Purity</v>
      </c>
      <c r="F26" s="45">
        <v>200.0</v>
      </c>
      <c r="G26" t="str">
        <f>$B$26</f>
        <v>Stone of Purity</v>
      </c>
      <c r="I26" s="45">
        <v>315.0</v>
      </c>
      <c r="J26" t="str">
        <f>$B$26</f>
        <v>Stone of Purity</v>
      </c>
      <c r="L26" s="45">
        <v>134.0</v>
      </c>
      <c r="M26" t="str">
        <f>$B$26</f>
        <v>Stone of Purity</v>
      </c>
      <c r="O26" s="45">
        <v>0.0</v>
      </c>
      <c r="P26" t="str">
        <f>$B$26</f>
        <v>Stone of Purity</v>
      </c>
      <c r="R26" s="45">
        <v>0.0</v>
      </c>
      <c r="S26" t="str">
        <f>$B$26</f>
        <v>Stone of Purity</v>
      </c>
      <c r="U26" s="43">
        <v>160.0</v>
      </c>
      <c r="V26" t="str">
        <f>$B$26</f>
        <v>Stone of Purity</v>
      </c>
      <c r="X26" s="43">
        <v>51.0</v>
      </c>
      <c r="Y26" t="str">
        <f>$B$26</f>
        <v>Stone of Purity</v>
      </c>
      <c r="AA26" s="43">
        <v>0.0</v>
      </c>
      <c r="AB26" t="str">
        <f>$B$26</f>
        <v>Stone of Purity</v>
      </c>
      <c r="AD26" s="43">
        <v>0.0</v>
      </c>
      <c r="AE26" t="str">
        <f>$B$26</f>
        <v>Stone of Purity</v>
      </c>
      <c r="AG26" s="43">
        <v>0.0</v>
      </c>
      <c r="AH26" t="str">
        <f>$B$26</f>
        <v>Stone of Purity</v>
      </c>
      <c r="AJ26" s="43">
        <v>34.0</v>
      </c>
      <c r="AK26" t="str">
        <f>$B$26</f>
        <v>Stone of Purity</v>
      </c>
      <c r="AM26" s="43">
        <v>112.0</v>
      </c>
      <c r="AN26" t="str">
        <f>$B$26</f>
        <v>Stone of Purity</v>
      </c>
      <c r="AP26" s="43">
        <v>0.0</v>
      </c>
      <c r="AQ26" t="str">
        <f>$B$26</f>
        <v>Stone of Purity</v>
      </c>
      <c r="AS26" s="43">
        <v>0.0</v>
      </c>
      <c r="AT26" t="str">
        <f>$B$26</f>
        <v>Stone of Purity</v>
      </c>
      <c r="AV26" s="43">
        <v>120.0</v>
      </c>
      <c r="AW26" t="str">
        <f>$B$26</f>
        <v>Stone of Purity</v>
      </c>
      <c r="AY26" s="43">
        <v>0.0</v>
      </c>
      <c r="AZ26" t="str">
        <f>$B$26</f>
        <v>Stone of Purity</v>
      </c>
      <c r="BB26" s="43">
        <v>226.0</v>
      </c>
      <c r="BC26" t="str">
        <f>$B$26</f>
        <v>Stone of Purity</v>
      </c>
      <c r="BE26" s="43">
        <v>97.0</v>
      </c>
    </row>
    <row r="27">
      <c r="A27" s="41">
        <f>HLOOKUP($A$7,$D$6:$BE$35,22,FALSE)</f>
        <v>0</v>
      </c>
      <c r="B27" s="8" t="s">
        <v>70</v>
      </c>
      <c r="C27" s="44">
        <v>14000.0</v>
      </c>
      <c r="D27" t="str">
        <f>$B$27</f>
        <v>Gemstone B</v>
      </c>
      <c r="F27" s="45">
        <v>98.0</v>
      </c>
      <c r="G27" t="str">
        <f>$B$27</f>
        <v>Gemstone B</v>
      </c>
      <c r="I27" s="45">
        <v>98.0</v>
      </c>
      <c r="J27" t="str">
        <f>$B$27</f>
        <v>Gemstone B</v>
      </c>
      <c r="L27" s="45">
        <v>62.0</v>
      </c>
      <c r="M27" t="str">
        <f>$B$27</f>
        <v>Gemstone B</v>
      </c>
      <c r="O27" s="45">
        <v>14.0</v>
      </c>
      <c r="P27" t="str">
        <f>$B$27</f>
        <v>Gemstone B</v>
      </c>
      <c r="R27" s="45">
        <v>14.0</v>
      </c>
      <c r="S27" t="str">
        <f>$B$27</f>
        <v>Gemstone B</v>
      </c>
      <c r="U27" s="43">
        <v>98.0</v>
      </c>
      <c r="V27" t="str">
        <f>$B$27</f>
        <v>Gemstone B</v>
      </c>
      <c r="X27" s="43">
        <v>20.0</v>
      </c>
      <c r="Y27" t="str">
        <f>$B$27</f>
        <v>Gemstone B</v>
      </c>
      <c r="AA27" s="43">
        <v>0.0</v>
      </c>
      <c r="AB27" t="str">
        <f>$B$27</f>
        <v>Gemstone B</v>
      </c>
      <c r="AD27" s="43">
        <v>0.0</v>
      </c>
      <c r="AE27" t="str">
        <f>$B$27</f>
        <v>Gemstone B</v>
      </c>
      <c r="AG27" s="43">
        <v>7.0</v>
      </c>
      <c r="AH27" t="str">
        <f>$B$27</f>
        <v>Gemstone B</v>
      </c>
      <c r="AJ27" s="43">
        <v>12.0</v>
      </c>
      <c r="AK27" t="str">
        <f>$B$27</f>
        <v>Gemstone B</v>
      </c>
      <c r="AM27" s="43">
        <v>31.0</v>
      </c>
      <c r="AN27" t="str">
        <f>$B$27</f>
        <v>Gemstone B</v>
      </c>
      <c r="AP27" s="43">
        <v>4.0</v>
      </c>
      <c r="AQ27" t="str">
        <f>$B$27</f>
        <v>Gemstone B</v>
      </c>
      <c r="AS27" s="43">
        <v>4.0</v>
      </c>
      <c r="AT27" t="str">
        <f>$B$27</f>
        <v>Gemstone B</v>
      </c>
      <c r="AV27" s="43">
        <v>98.0</v>
      </c>
      <c r="AW27" t="str">
        <f>$B$27</f>
        <v>Gemstone B</v>
      </c>
      <c r="AY27" s="43">
        <v>0.0</v>
      </c>
      <c r="AZ27" t="str">
        <f>$B$27</f>
        <v>Gemstone B</v>
      </c>
      <c r="BB27" s="43">
        <v>0.0</v>
      </c>
      <c r="BC27" t="str">
        <f>$B$27</f>
        <v>Gemstone B</v>
      </c>
      <c r="BE27" s="43">
        <v>0.0</v>
      </c>
    </row>
    <row r="28">
      <c r="A28" s="41">
        <f>HLOOKUP($A$7,$D$6:$BE$35,23,FALSE)</f>
        <v>0</v>
      </c>
      <c r="B28" s="8" t="s">
        <v>18</v>
      </c>
      <c r="C28" s="44">
        <v>2700.0</v>
      </c>
      <c r="D28" t="str">
        <f>$B$28</f>
        <v>Crystal C</v>
      </c>
      <c r="F28" s="45">
        <v>0.0</v>
      </c>
      <c r="G28" t="str">
        <f>$B$28</f>
        <v>Crystal C</v>
      </c>
      <c r="I28" s="45">
        <v>0.0</v>
      </c>
      <c r="J28" t="str">
        <f>$B$28</f>
        <v>Crystal C</v>
      </c>
      <c r="L28" s="45">
        <v>517.0</v>
      </c>
      <c r="M28" t="str">
        <f>$B$28</f>
        <v>Crystal C</v>
      </c>
      <c r="O28" s="45">
        <v>95.0</v>
      </c>
      <c r="P28" t="str">
        <f>$B$28</f>
        <v>Crystal C</v>
      </c>
      <c r="R28" s="45">
        <v>95.0</v>
      </c>
      <c r="S28" t="str">
        <f>$B$28</f>
        <v>Crystal C</v>
      </c>
      <c r="U28" s="43">
        <v>0.0</v>
      </c>
      <c r="V28" t="str">
        <f>$B$28</f>
        <v>Crystal C</v>
      </c>
      <c r="X28" s="43">
        <v>0.0</v>
      </c>
      <c r="Y28" t="str">
        <f>$B$28</f>
        <v>Crystal C</v>
      </c>
      <c r="AA28" s="43">
        <v>0.0</v>
      </c>
      <c r="AB28" t="str">
        <f>$B$28</f>
        <v>Crystal C</v>
      </c>
      <c r="AD28" s="43">
        <v>0.0</v>
      </c>
      <c r="AE28" t="str">
        <f>$B$28</f>
        <v>Crystal C</v>
      </c>
      <c r="AG28" s="43">
        <v>0.0</v>
      </c>
      <c r="AH28" t="str">
        <f>$B$28</f>
        <v>Crystal C</v>
      </c>
      <c r="AJ28" s="43">
        <v>0.0</v>
      </c>
      <c r="AK28" t="str">
        <f>$B$28</f>
        <v>Crystal C</v>
      </c>
      <c r="AM28" s="43">
        <v>0.0</v>
      </c>
      <c r="AN28" t="str">
        <f>$B$28</f>
        <v>Crystal C</v>
      </c>
      <c r="AP28" s="43">
        <v>0.0</v>
      </c>
      <c r="AQ28" t="str">
        <f>$B$28</f>
        <v>Crystal C</v>
      </c>
      <c r="AS28" s="43">
        <v>0.0</v>
      </c>
      <c r="AT28" t="str">
        <f>$B$28</f>
        <v>Crystal C</v>
      </c>
      <c r="AV28" s="43">
        <v>0.0</v>
      </c>
      <c r="AW28" t="str">
        <f>$B$28</f>
        <v>Crystal C</v>
      </c>
      <c r="AY28" s="43">
        <v>350.0</v>
      </c>
      <c r="AZ28" t="str">
        <f>$B$28</f>
        <v>Crystal C</v>
      </c>
      <c r="BB28" s="43">
        <v>0.0</v>
      </c>
      <c r="BC28" t="str">
        <f>$B$28</f>
        <v>Crystal C</v>
      </c>
      <c r="BE28" s="43">
        <v>410.0</v>
      </c>
    </row>
    <row r="29">
      <c r="A29" s="41">
        <f>HLOOKUP($A$7,$D$6:$BE$35,24,FALSE)</f>
        <v>0</v>
      </c>
      <c r="B29" s="8" t="s">
        <v>20</v>
      </c>
      <c r="C29" s="44">
        <v>24000.0</v>
      </c>
      <c r="D29" t="str">
        <f>$B$29</f>
        <v>Crystal B</v>
      </c>
      <c r="F29" s="45">
        <v>155.0</v>
      </c>
      <c r="G29" t="str">
        <f>$B$29</f>
        <v>Crystal B</v>
      </c>
      <c r="I29" s="45">
        <v>328.0</v>
      </c>
      <c r="J29" t="str">
        <f>$B$29</f>
        <v>Crystal B</v>
      </c>
      <c r="L29" s="45">
        <v>0.0</v>
      </c>
      <c r="M29" t="str">
        <f>$B$29</f>
        <v>Crystal B</v>
      </c>
      <c r="O29" s="45">
        <v>0.0</v>
      </c>
      <c r="P29" t="str">
        <f>$B$29</f>
        <v>Crystal B</v>
      </c>
      <c r="R29" s="45">
        <v>0.0</v>
      </c>
      <c r="S29" t="str">
        <f>$B$29</f>
        <v>Crystal B</v>
      </c>
      <c r="U29" s="43">
        <v>168.0</v>
      </c>
      <c r="V29" t="str">
        <f>$B$29</f>
        <v>Crystal B</v>
      </c>
      <c r="X29" s="43">
        <v>40.0</v>
      </c>
      <c r="Y29" t="str">
        <f>$B$29</f>
        <v>Crystal B</v>
      </c>
      <c r="AA29" s="43">
        <v>0.0</v>
      </c>
      <c r="AB29" t="str">
        <f>$B$29</f>
        <v>Crystal B</v>
      </c>
      <c r="AD29" s="43">
        <v>0.0</v>
      </c>
      <c r="AE29" t="str">
        <f>$B$29</f>
        <v>Crystal B</v>
      </c>
      <c r="AG29" s="43">
        <v>0.0</v>
      </c>
      <c r="AH29" t="str">
        <f>$B$29</f>
        <v>Crystal B</v>
      </c>
      <c r="AJ29" s="43">
        <v>20.0</v>
      </c>
      <c r="AK29" t="str">
        <f>$B$29</f>
        <v>Crystal B</v>
      </c>
      <c r="AM29" s="43">
        <v>136.0</v>
      </c>
      <c r="AN29" t="str">
        <f>$B$29</f>
        <v>Crystal B</v>
      </c>
      <c r="AP29" s="43">
        <v>0.0</v>
      </c>
      <c r="AQ29" t="str">
        <f>$B$29</f>
        <v>Crystal B</v>
      </c>
      <c r="AS29" s="43">
        <v>0.0</v>
      </c>
      <c r="AT29" t="str">
        <f>$B$29</f>
        <v>Crystal B</v>
      </c>
      <c r="AV29" s="43">
        <v>165.0</v>
      </c>
      <c r="AW29" t="str">
        <f>$B$29</f>
        <v>Crystal B</v>
      </c>
      <c r="AY29" s="43">
        <v>62.0</v>
      </c>
      <c r="AZ29" t="str">
        <f>$B$29</f>
        <v>Crystal B</v>
      </c>
      <c r="BB29" s="43">
        <v>0.0</v>
      </c>
      <c r="BC29" t="str">
        <f>$B$29</f>
        <v>Crystal B</v>
      </c>
      <c r="BE29" s="43">
        <v>0.0</v>
      </c>
    </row>
    <row r="30">
      <c r="A30" s="41">
        <f>HLOOKUP($A$7,$D$6:$BE$37,25,FALSE)</f>
        <v>0</v>
      </c>
      <c r="B30" s="8" t="s">
        <v>21</v>
      </c>
      <c r="C30" s="44">
        <v>180000.0</v>
      </c>
      <c r="D30" t="str">
        <f>$B$30</f>
        <v>Crystal A</v>
      </c>
      <c r="F30" s="45">
        <v>0.0</v>
      </c>
      <c r="G30" t="str">
        <f>$B$30</f>
        <v>Crystal A</v>
      </c>
      <c r="I30" s="45">
        <v>0.0</v>
      </c>
      <c r="J30" t="str">
        <f>$B$30</f>
        <v>Crystal A</v>
      </c>
      <c r="L30" s="45">
        <v>0.0</v>
      </c>
      <c r="M30" t="str">
        <f>$B$30</f>
        <v>Crystal A</v>
      </c>
      <c r="O30" s="45">
        <v>0.0</v>
      </c>
      <c r="P30" t="str">
        <f>$B$30</f>
        <v>Crystal A</v>
      </c>
      <c r="R30" s="45">
        <v>0.0</v>
      </c>
      <c r="S30" t="str">
        <f>$B$30</f>
        <v>Crystal A</v>
      </c>
      <c r="U30" s="43">
        <v>0.0</v>
      </c>
      <c r="V30" t="str">
        <f>$B$30</f>
        <v>Crystal A</v>
      </c>
      <c r="X30" s="43">
        <v>0.0</v>
      </c>
      <c r="Y30" t="str">
        <f>$B$30</f>
        <v>Crystal A</v>
      </c>
      <c r="AA30" s="43">
        <v>0.0</v>
      </c>
      <c r="AB30" t="str">
        <f>$B$30</f>
        <v>Crystal A</v>
      </c>
      <c r="AD30" s="43">
        <v>0.0</v>
      </c>
      <c r="AE30" t="str">
        <f>$B$30</f>
        <v>Crystal A</v>
      </c>
      <c r="AG30" s="43">
        <v>0.0</v>
      </c>
      <c r="AH30" t="str">
        <f>$B$30</f>
        <v>Crystal A</v>
      </c>
      <c r="AJ30" s="43">
        <v>0.0</v>
      </c>
      <c r="AK30" t="str">
        <f>$B$30</f>
        <v>Crystal A</v>
      </c>
      <c r="AM30" s="43">
        <v>0.0</v>
      </c>
      <c r="AN30" t="str">
        <f>$B$30</f>
        <v>Crystal A</v>
      </c>
      <c r="AP30" s="43">
        <v>0.0</v>
      </c>
      <c r="AQ30" t="str">
        <f>$B$30</f>
        <v>Crystal A</v>
      </c>
      <c r="AS30" s="43">
        <v>0.0</v>
      </c>
      <c r="AT30" t="str">
        <f>$B$30</f>
        <v>Crystal A</v>
      </c>
      <c r="AV30" s="43">
        <v>0.0</v>
      </c>
      <c r="AW30" t="str">
        <f>$B$30</f>
        <v>Crystal A</v>
      </c>
      <c r="AY30" s="43">
        <v>0.0</v>
      </c>
      <c r="AZ30" t="str">
        <f>$B$30</f>
        <v>Crystal A</v>
      </c>
      <c r="BB30" s="43">
        <v>195.0</v>
      </c>
      <c r="BC30" t="str">
        <f>$B$30</f>
        <v>Crystal A</v>
      </c>
      <c r="BE30" s="43">
        <v>0.0</v>
      </c>
    </row>
    <row r="31">
      <c r="A31" s="41" t="str">
        <f>HLOOKUP($A$7,$D$6:$BE$37,26,FALSE)</f>
        <v/>
      </c>
      <c r="B31" s="48" t="s">
        <v>71</v>
      </c>
      <c r="C31" s="49">
        <v>4000000.0</v>
      </c>
      <c r="F31" s="50"/>
      <c r="I31" s="50"/>
      <c r="L31" s="50"/>
      <c r="O31" s="50"/>
      <c r="R31" s="50"/>
      <c r="U31" s="50"/>
      <c r="X31" s="50"/>
      <c r="AA31" s="50"/>
      <c r="AD31" s="50"/>
      <c r="AG31" s="50"/>
      <c r="AJ31" s="43"/>
      <c r="AM31" s="50"/>
      <c r="AP31" s="50"/>
      <c r="AS31" s="50"/>
      <c r="AV31" s="50"/>
      <c r="AY31" s="50"/>
      <c r="AZ31" t="str">
        <f>$B$31</f>
        <v>Gemstone A</v>
      </c>
      <c r="BB31" s="43">
        <v>74.0</v>
      </c>
      <c r="BE31" s="50"/>
    </row>
    <row r="32">
      <c r="A32" s="41" t="str">
        <f>HLOOKUP($A$7,$D$6:$BE$37,27,FALSE)</f>
        <v/>
      </c>
      <c r="B32" s="48" t="s">
        <v>72</v>
      </c>
      <c r="C32" s="51"/>
      <c r="D32" s="17"/>
      <c r="F32" s="50"/>
      <c r="I32" s="50"/>
      <c r="L32" s="50"/>
      <c r="O32" s="50"/>
      <c r="R32" s="50"/>
      <c r="U32" s="50"/>
      <c r="X32" s="50"/>
      <c r="AA32" s="50"/>
      <c r="AD32" s="50"/>
      <c r="AG32" s="50"/>
      <c r="AJ32" s="43"/>
      <c r="AM32" s="50"/>
      <c r="AP32" s="50"/>
      <c r="AS32" s="50"/>
      <c r="AV32" s="50"/>
      <c r="AY32" s="50"/>
      <c r="BB32" s="50"/>
      <c r="BE32" s="50"/>
    </row>
    <row r="33">
      <c r="A33" s="41" t="str">
        <f>HLOOKUP($A$7,$D$6:$BE$37,28,FALSE)</f>
        <v/>
      </c>
      <c r="B33" s="48" t="s">
        <v>72</v>
      </c>
      <c r="C33" s="51"/>
      <c r="D33" s="17"/>
      <c r="F33" s="50"/>
      <c r="I33" s="50"/>
      <c r="L33" s="50"/>
      <c r="O33" s="50"/>
      <c r="R33" s="50"/>
      <c r="U33" s="50"/>
      <c r="X33" s="50"/>
      <c r="AA33" s="50"/>
      <c r="AD33" s="50"/>
      <c r="AG33" s="50"/>
      <c r="AJ33" s="50"/>
      <c r="AM33" s="50"/>
      <c r="AP33" s="50"/>
      <c r="AS33" s="50"/>
      <c r="AV33" s="50"/>
      <c r="AY33" s="50"/>
      <c r="BB33" s="50"/>
      <c r="BE33" s="50"/>
    </row>
    <row r="34">
      <c r="A34" s="41" t="str">
        <f>HLOOKUP($A$7,$D$6:$BE$37,29,FALSE)</f>
        <v/>
      </c>
      <c r="B34" s="48" t="s">
        <v>72</v>
      </c>
      <c r="C34" s="51"/>
      <c r="D34" s="17"/>
      <c r="F34" s="50"/>
      <c r="I34" s="50"/>
      <c r="L34" s="50"/>
      <c r="O34" s="50"/>
      <c r="R34" s="50"/>
      <c r="U34" s="50"/>
      <c r="X34" s="50"/>
      <c r="AA34" s="50"/>
      <c r="AD34" s="50"/>
      <c r="AG34" s="50"/>
      <c r="AJ34" s="50"/>
      <c r="AM34" s="50"/>
      <c r="AP34" s="50"/>
      <c r="AS34" s="50"/>
      <c r="AV34" s="50"/>
      <c r="AY34" s="50"/>
      <c r="BB34" s="50"/>
      <c r="BE34" s="50"/>
    </row>
    <row r="35">
      <c r="A35" s="41" t="str">
        <f>HLOOKUP($A$7,$D$6:$BE$37,30,FALSE)</f>
        <v/>
      </c>
      <c r="B35" s="48" t="s">
        <v>72</v>
      </c>
      <c r="C35" s="51"/>
      <c r="D35" s="17"/>
      <c r="F35" s="50"/>
      <c r="I35" s="50"/>
      <c r="L35" s="50"/>
      <c r="O35" s="50"/>
      <c r="R35" s="50"/>
      <c r="U35" s="50"/>
      <c r="X35" s="50"/>
      <c r="AA35" s="50"/>
      <c r="AD35" s="50"/>
      <c r="AG35" s="50"/>
      <c r="AJ35" s="50"/>
      <c r="AM35" s="50"/>
      <c r="AP35" s="50"/>
      <c r="AS35" s="50"/>
      <c r="AV35" s="50"/>
      <c r="AY35" s="50"/>
      <c r="BB35" s="50"/>
      <c r="BE35" s="50"/>
    </row>
    <row r="36">
      <c r="A36" s="52">
        <f>HLOOKUP($A$7,$D$6:$BE$37,31,FALSE)</f>
        <v>0</v>
      </c>
      <c r="B36" s="53" t="s">
        <v>73</v>
      </c>
      <c r="D36" s="54" t="s">
        <v>74</v>
      </c>
      <c r="E36" s="55">
        <v>2000000.0</v>
      </c>
      <c r="F36" s="56">
        <v>13.0</v>
      </c>
      <c r="G36" s="54" t="s">
        <v>74</v>
      </c>
      <c r="H36" s="55">
        <v>2000000.0</v>
      </c>
      <c r="I36" s="56">
        <v>13.0</v>
      </c>
      <c r="J36" s="54" t="s">
        <v>75</v>
      </c>
      <c r="K36" s="55">
        <v>1000000.0</v>
      </c>
      <c r="L36" s="56">
        <v>12.0</v>
      </c>
      <c r="M36" s="57" t="s">
        <v>76</v>
      </c>
      <c r="N36" s="58">
        <v>770000.0</v>
      </c>
      <c r="O36" s="56">
        <v>12.0</v>
      </c>
      <c r="P36" s="57" t="s">
        <v>76</v>
      </c>
      <c r="Q36" s="58">
        <v>770000.0</v>
      </c>
      <c r="R36" s="56">
        <v>12.0</v>
      </c>
      <c r="S36" s="57" t="s">
        <v>77</v>
      </c>
      <c r="T36" s="58">
        <v>2000000.0</v>
      </c>
      <c r="U36" s="56">
        <v>13.0</v>
      </c>
      <c r="V36" s="59" t="s">
        <v>78</v>
      </c>
      <c r="W36" s="55">
        <v>0.0</v>
      </c>
      <c r="X36" s="56">
        <v>0.0</v>
      </c>
      <c r="Y36" s="60"/>
      <c r="Z36" s="55">
        <v>0.0</v>
      </c>
      <c r="AA36" s="56">
        <v>0.0</v>
      </c>
      <c r="AB36" s="60"/>
      <c r="AC36" s="55">
        <v>0.0</v>
      </c>
      <c r="AD36" s="56">
        <v>0.0</v>
      </c>
      <c r="AE36" s="60"/>
      <c r="AF36" s="55">
        <v>100000.0</v>
      </c>
      <c r="AG36" s="56">
        <v>13.0</v>
      </c>
      <c r="AH36" s="57" t="s">
        <v>79</v>
      </c>
      <c r="AI36" s="58">
        <v>0.0</v>
      </c>
      <c r="AJ36" s="10">
        <v>0.0</v>
      </c>
      <c r="AK36" s="59" t="s">
        <v>80</v>
      </c>
      <c r="AL36" s="55">
        <v>0.0</v>
      </c>
      <c r="AM36" s="56">
        <v>0.0</v>
      </c>
      <c r="AN36" s="60"/>
      <c r="AO36" s="55">
        <v>0.0</v>
      </c>
      <c r="AP36" s="56">
        <v>0.0</v>
      </c>
      <c r="AQ36" s="60"/>
      <c r="AR36" s="55">
        <v>0.0</v>
      </c>
      <c r="AS36" s="56">
        <v>0.0</v>
      </c>
      <c r="AT36" s="59" t="s">
        <v>81</v>
      </c>
      <c r="AU36" s="55">
        <v>0.0</v>
      </c>
      <c r="AV36" s="56">
        <v>0.0</v>
      </c>
      <c r="AW36" s="59" t="s">
        <v>81</v>
      </c>
      <c r="AX36" s="55">
        <v>1.0E7</v>
      </c>
      <c r="AY36" s="56">
        <v>1.0</v>
      </c>
      <c r="AZ36" s="60"/>
      <c r="BA36" s="55">
        <v>0.0</v>
      </c>
      <c r="BB36" s="56">
        <v>0.0</v>
      </c>
      <c r="BC36" s="59" t="s">
        <v>81</v>
      </c>
      <c r="BD36" s="55">
        <v>0.0</v>
      </c>
      <c r="BE36" s="56">
        <v>0.0</v>
      </c>
    </row>
    <row r="37">
      <c r="A37" s="52">
        <f>HLOOKUP($A$7,$D$6:$BE$37,32,FALSE)</f>
        <v>0</v>
      </c>
      <c r="B37" s="61" t="s">
        <v>82</v>
      </c>
      <c r="D37" s="54" t="s">
        <v>83</v>
      </c>
      <c r="E37" s="55">
        <v>4.0E7</v>
      </c>
      <c r="F37" s="56">
        <v>1.0</v>
      </c>
      <c r="G37" s="62" t="s">
        <v>84</v>
      </c>
      <c r="H37" s="58">
        <v>2.9E7</v>
      </c>
      <c r="I37" s="56">
        <v>2.0</v>
      </c>
      <c r="J37" s="54" t="s">
        <v>85</v>
      </c>
      <c r="K37" s="55">
        <v>0.0</v>
      </c>
      <c r="L37" s="56">
        <v>0.0</v>
      </c>
      <c r="M37" s="54" t="s">
        <v>86</v>
      </c>
      <c r="N37" s="55">
        <v>8000000.0</v>
      </c>
      <c r="O37" s="56">
        <v>1.0</v>
      </c>
      <c r="P37" s="54" t="s">
        <v>86</v>
      </c>
      <c r="Q37" s="55">
        <v>0.0</v>
      </c>
      <c r="R37" s="56">
        <v>1.0</v>
      </c>
      <c r="S37" s="54" t="s">
        <v>87</v>
      </c>
      <c r="T37" s="55">
        <v>6.5E7</v>
      </c>
      <c r="U37" s="56">
        <v>1.0</v>
      </c>
      <c r="V37" s="54" t="s">
        <v>88</v>
      </c>
      <c r="W37" s="55">
        <v>0.0</v>
      </c>
      <c r="X37" s="56">
        <v>13.0</v>
      </c>
      <c r="Y37" s="54"/>
      <c r="Z37" s="55">
        <v>0.0</v>
      </c>
      <c r="AA37" s="56">
        <v>0.0</v>
      </c>
      <c r="AB37" s="54"/>
      <c r="AC37" s="55">
        <v>0.0</v>
      </c>
      <c r="AD37" s="56">
        <v>0.0</v>
      </c>
      <c r="AE37" s="54"/>
      <c r="AF37" s="55">
        <v>1.0E7</v>
      </c>
      <c r="AG37" s="56">
        <v>1.0</v>
      </c>
      <c r="AH37" s="54" t="s">
        <v>89</v>
      </c>
      <c r="AI37" s="55">
        <v>0.0</v>
      </c>
      <c r="AJ37" s="56">
        <v>0.0</v>
      </c>
      <c r="AK37" s="54" t="s">
        <v>89</v>
      </c>
      <c r="AL37" s="55">
        <v>0.0</v>
      </c>
      <c r="AM37" s="56">
        <v>0.0</v>
      </c>
      <c r="AN37" s="54"/>
      <c r="AO37" s="55">
        <v>0.0</v>
      </c>
      <c r="AP37" s="56">
        <v>0.0</v>
      </c>
      <c r="AQ37" s="54"/>
      <c r="AR37" s="55">
        <v>0.0</v>
      </c>
      <c r="AS37" s="56">
        <v>0.0</v>
      </c>
      <c r="AT37" s="62" t="s">
        <v>90</v>
      </c>
      <c r="AU37" s="58">
        <v>500000.0</v>
      </c>
      <c r="AV37" s="56">
        <v>13.0</v>
      </c>
      <c r="AW37" s="54" t="s">
        <v>90</v>
      </c>
      <c r="AX37" s="55">
        <v>200000.0</v>
      </c>
      <c r="AY37" s="56">
        <v>12.0</v>
      </c>
      <c r="AZ37" s="54"/>
      <c r="BA37" s="55">
        <v>2000000.0</v>
      </c>
      <c r="BB37" s="56">
        <v>29.0</v>
      </c>
      <c r="BC37" s="54" t="s">
        <v>91</v>
      </c>
      <c r="BD37" s="55">
        <v>11.0</v>
      </c>
      <c r="BE37" s="56">
        <v>150000.0</v>
      </c>
    </row>
    <row r="38">
      <c r="A38" s="63"/>
      <c r="B38" s="64" t="s">
        <v>92</v>
      </c>
      <c r="D38" s="17"/>
      <c r="F38" s="43">
        <v>60.0</v>
      </c>
      <c r="G38" s="17"/>
      <c r="I38" s="43">
        <v>100.0</v>
      </c>
      <c r="J38" s="17"/>
      <c r="L38" s="43">
        <v>100.0</v>
      </c>
      <c r="M38" s="17"/>
      <c r="O38" s="43">
        <v>100.0</v>
      </c>
      <c r="P38" s="17"/>
      <c r="R38" s="43">
        <v>60.0</v>
      </c>
      <c r="S38" s="17"/>
      <c r="U38" s="43">
        <v>60.0</v>
      </c>
      <c r="V38" s="17"/>
      <c r="X38" s="43">
        <v>60.0</v>
      </c>
      <c r="Y38" s="17"/>
      <c r="AA38" s="43">
        <v>60.0</v>
      </c>
      <c r="AB38" s="17"/>
      <c r="AD38" s="43">
        <v>60.0</v>
      </c>
      <c r="AE38" s="17"/>
      <c r="AG38" s="43">
        <v>60.0</v>
      </c>
      <c r="AH38" s="17"/>
      <c r="AJ38" s="43">
        <v>60.0</v>
      </c>
      <c r="AK38" s="17"/>
      <c r="AM38" s="43">
        <v>100.0</v>
      </c>
      <c r="AN38" s="17"/>
      <c r="AP38" s="43">
        <v>60.0</v>
      </c>
      <c r="AQ38" s="17"/>
      <c r="AS38" s="43">
        <v>60.0</v>
      </c>
      <c r="AT38" s="17"/>
      <c r="AV38" s="43">
        <v>60.0</v>
      </c>
      <c r="AW38" s="17"/>
      <c r="AY38" s="43">
        <v>60.0</v>
      </c>
      <c r="AZ38" s="17"/>
      <c r="BB38" s="43">
        <v>60.0</v>
      </c>
      <c r="BC38" s="17"/>
      <c r="BE38" s="43">
        <v>100.0</v>
      </c>
    </row>
    <row r="39">
      <c r="A39" s="65">
        <f>HLOOKUP($A$7,$D$6:$BE$41,34,FALSE)</f>
        <v>22000000</v>
      </c>
      <c r="B39" s="66"/>
      <c r="C39" s="67" t="s">
        <v>93</v>
      </c>
      <c r="D39" s="68"/>
      <c r="E39" s="68"/>
      <c r="F39" s="69">
        <v>1.5E8</v>
      </c>
      <c r="G39" s="70"/>
      <c r="H39" s="68"/>
      <c r="I39" s="69">
        <v>2.2E8</v>
      </c>
      <c r="J39" s="70"/>
      <c r="K39" s="68"/>
      <c r="L39" s="69">
        <v>4.9E7</v>
      </c>
      <c r="M39" s="70"/>
      <c r="N39" s="68"/>
      <c r="O39" s="69">
        <v>4.2E7</v>
      </c>
      <c r="P39" s="70"/>
      <c r="Q39" s="68"/>
      <c r="R39" s="69">
        <v>7.0E7</v>
      </c>
      <c r="S39" s="70"/>
      <c r="T39" s="68"/>
      <c r="U39" s="69">
        <v>2.0E8</v>
      </c>
      <c r="V39" s="70"/>
      <c r="W39" s="68"/>
      <c r="X39" s="69">
        <v>3.5E7</v>
      </c>
      <c r="Y39" s="70"/>
      <c r="Z39" s="68"/>
      <c r="AA39" s="69">
        <v>2.2E7</v>
      </c>
      <c r="AB39" s="70"/>
      <c r="AC39" s="68"/>
      <c r="AD39" s="69">
        <v>2.2E7</v>
      </c>
      <c r="AE39" s="70"/>
      <c r="AF39" s="68"/>
      <c r="AG39" s="69">
        <v>4.0E7</v>
      </c>
      <c r="AH39" s="70"/>
      <c r="AI39" s="68"/>
      <c r="AJ39" s="69">
        <v>2.5E7</v>
      </c>
      <c r="AK39" s="70"/>
      <c r="AL39" s="68"/>
      <c r="AM39" s="69">
        <v>7.0E7</v>
      </c>
      <c r="AN39" s="70"/>
      <c r="AO39" s="68"/>
      <c r="AP39" s="69">
        <v>1.5E7</v>
      </c>
      <c r="AQ39" s="70"/>
      <c r="AR39" s="68"/>
      <c r="AS39" s="69">
        <v>2.2E7</v>
      </c>
      <c r="AT39" s="70"/>
      <c r="AU39" s="68"/>
      <c r="AV39" s="69">
        <v>1.4E8</v>
      </c>
      <c r="AW39" s="70"/>
      <c r="AX39" s="68"/>
      <c r="AY39" s="69">
        <v>9.0E7</v>
      </c>
      <c r="AZ39" s="70"/>
      <c r="BA39" s="68"/>
      <c r="BB39" s="69">
        <v>0.0</v>
      </c>
      <c r="BC39" s="70"/>
      <c r="BD39" s="68"/>
      <c r="BE39" s="69">
        <v>4000000.0</v>
      </c>
    </row>
    <row r="40">
      <c r="A40" s="71">
        <f>HLOOKUP(A7,D6:$BE$40,35,FALSE)</f>
        <v>0</v>
      </c>
      <c r="C40" s="72" t="s">
        <v>94</v>
      </c>
      <c r="D40" s="73"/>
      <c r="E40" s="73"/>
      <c r="F40" s="74">
        <f>SUMPRODUCT($C$8:$C$35,F8:F35)+(E36*F36)+(E37*F37)</f>
        <v>90224000</v>
      </c>
      <c r="G40" s="73"/>
      <c r="H40" s="73"/>
      <c r="I40" s="74">
        <f>SUMPRODUCT($C$8:$C$35,I8:I35)+(H36*I36)+(H37*I37)</f>
        <v>123849100</v>
      </c>
      <c r="J40" s="73"/>
      <c r="K40" s="73"/>
      <c r="L40" s="74">
        <f>SUMPRODUCT($C$9:$C$35,L9:L35)+(K36*L36)+(K37*L37)</f>
        <v>29994100</v>
      </c>
      <c r="M40" s="73"/>
      <c r="N40" s="73"/>
      <c r="O40" s="74">
        <f>SUMPRODUCT($C$9:$C$35,O9:O35)+(N36*O36)+(N37*O37)</f>
        <v>20405000</v>
      </c>
      <c r="P40" s="73"/>
      <c r="Q40" s="73"/>
      <c r="R40" s="74">
        <f>SUMPRODUCT($C$9:$C$35,R9:R35)+(Q36*R36)+(Q37*R37)</f>
        <v>11522000</v>
      </c>
      <c r="S40" s="73"/>
      <c r="T40" s="73"/>
      <c r="U40" s="74">
        <f>SUMPRODUCT($C$9:$C$35,U9:U35)+(T36*U36)+(T37*U37)</f>
        <v>113492000</v>
      </c>
      <c r="V40" s="73"/>
      <c r="W40" s="73"/>
      <c r="X40" s="74">
        <f>SUMPRODUCT($C$9:$C$35,X9:X35)+(W36*X36)+(W37*X37)</f>
        <v>5379400</v>
      </c>
      <c r="Y40" s="73"/>
      <c r="Z40" s="73"/>
      <c r="AA40" s="74">
        <f>SUMPRODUCT($C$9:$C$35,AA9:AA35)+(Z36*AA36)+(Z37*AA37)</f>
        <v>0</v>
      </c>
      <c r="AB40" s="73"/>
      <c r="AC40" s="73"/>
      <c r="AD40" s="74">
        <f>SUMPRODUCT($C$9:$C$35,AD9:AD35)+(AC36*AD36)+(AC37*AD37)</f>
        <v>0</v>
      </c>
      <c r="AE40" s="73"/>
      <c r="AF40" s="73"/>
      <c r="AG40" s="74">
        <f>SUMPRODUCT($C$9:$C$35,AG9:AG35)+(AF36*AG36)+(AF37*AG37)</f>
        <v>11876800</v>
      </c>
      <c r="AH40" s="73"/>
      <c r="AI40" s="73"/>
      <c r="AJ40" s="74">
        <f>SUMPRODUCT($C$9:$C$35,AJ9:AJ35)+(AI36*AJ36)+(AI37*AJ37)</f>
        <v>4127600</v>
      </c>
      <c r="AK40" s="73"/>
      <c r="AL40" s="73"/>
      <c r="AM40" s="74">
        <f>SUMPRODUCT($C$9:$C$35,AM9:AM35)+(AL36*AM36)+(AL37*AM37)</f>
        <v>17277300</v>
      </c>
      <c r="AN40" s="73"/>
      <c r="AO40" s="73"/>
      <c r="AP40" s="74">
        <f>SUMPRODUCT($C$9:$C$35,AP9:AP35)+(AO36*AP36)+(AO37*AP37)</f>
        <v>4537600</v>
      </c>
      <c r="AQ40" s="73"/>
      <c r="AR40" s="73"/>
      <c r="AS40" s="74">
        <f>SUMPRODUCT($C$9:$C$35,AS9:AS35)+(AR36*AS36)+(AR37*AS37)</f>
        <v>4537600</v>
      </c>
      <c r="AT40" s="73"/>
      <c r="AU40" s="73"/>
      <c r="AV40" s="74">
        <f>SUMPRODUCT($C$9:$C$35,AV9:AV35)+(AU36*AV36)+(AU37*AV37)</f>
        <v>27876000</v>
      </c>
      <c r="AW40" s="73"/>
      <c r="AX40" s="73"/>
      <c r="AY40" s="74">
        <f>SUMPRODUCT($C$9:$C$35,AY9:AY35)+(AX36*AY36)+(AX37*AY37)</f>
        <v>22115750</v>
      </c>
      <c r="AZ40" s="73"/>
      <c r="BA40" s="73"/>
      <c r="BB40" s="74">
        <f>SUMPRODUCT($C$9:$C$35,BB9:BB35)+(BA36*BB36)+(BA37*BB37)</f>
        <v>422967600</v>
      </c>
      <c r="BC40" s="73"/>
      <c r="BD40" s="73"/>
      <c r="BE40" s="74">
        <f>SUMPRODUCT($C$9:$C$35,BE9:BE35)+(BD36*BE36)+(BD37*BE37)</f>
        <v>14805750</v>
      </c>
    </row>
    <row r="41">
      <c r="A41" s="75">
        <f>HLOOKUP(A7,D6:$BE$41,36,FALSE)</f>
        <v>22000000</v>
      </c>
      <c r="C41" s="76" t="s">
        <v>95</v>
      </c>
      <c r="D41" s="77"/>
      <c r="E41" s="77"/>
      <c r="F41" s="78">
        <f>F39-F40*100/F38</f>
        <v>-373333.3333</v>
      </c>
      <c r="G41" s="77"/>
      <c r="H41" s="77"/>
      <c r="I41" s="78">
        <f>I39-I40*100/I38</f>
        <v>96150900</v>
      </c>
      <c r="J41" s="77"/>
      <c r="K41" s="77"/>
      <c r="L41" s="78">
        <f>L39-L40*(100/L38)</f>
        <v>19005900</v>
      </c>
      <c r="M41" s="77"/>
      <c r="N41" s="77"/>
      <c r="O41" s="78">
        <f>O39-O40*100/O38</f>
        <v>21595000</v>
      </c>
      <c r="P41" s="77"/>
      <c r="Q41" s="77"/>
      <c r="R41" s="78">
        <f>R39-R40*100/R38</f>
        <v>50796666.67</v>
      </c>
      <c r="S41" s="77"/>
      <c r="T41" s="77"/>
      <c r="U41" s="79">
        <f>U39-U40*100/U38</f>
        <v>10846666.67</v>
      </c>
      <c r="V41" s="77"/>
      <c r="W41" s="77"/>
      <c r="X41" s="79">
        <f>X39-X40*100/X38</f>
        <v>26034333.33</v>
      </c>
      <c r="Y41" s="77"/>
      <c r="Z41" s="77"/>
      <c r="AA41" s="79">
        <f>AA39-AA40*100/AA38</f>
        <v>22000000</v>
      </c>
      <c r="AB41" s="77"/>
      <c r="AC41" s="77"/>
      <c r="AD41" s="79">
        <f>AD39-AD40*100/AD38</f>
        <v>22000000</v>
      </c>
      <c r="AE41" s="77"/>
      <c r="AF41" s="77"/>
      <c r="AG41" s="79">
        <f>AG39-AG40*100/AG38</f>
        <v>20205333.33</v>
      </c>
      <c r="AH41" s="77"/>
      <c r="AI41" s="77"/>
      <c r="AJ41" s="79">
        <f>AJ39-AJ40*100/AJ38</f>
        <v>18120666.67</v>
      </c>
      <c r="AK41" s="77"/>
      <c r="AL41" s="77"/>
      <c r="AM41" s="79">
        <f>AM39-AM40*100/AM38</f>
        <v>52722700</v>
      </c>
      <c r="AN41" s="77"/>
      <c r="AO41" s="77"/>
      <c r="AP41" s="79">
        <f>AP39-AP40*100/AP38</f>
        <v>7437333.333</v>
      </c>
      <c r="AQ41" s="77"/>
      <c r="AR41" s="77"/>
      <c r="AS41" s="79">
        <f>AS39-AS40*100/AS38</f>
        <v>14437333.33</v>
      </c>
      <c r="AT41" s="77"/>
      <c r="AU41" s="77"/>
      <c r="AV41" s="79">
        <f>AV39-AV40*100/AV38</f>
        <v>93540000</v>
      </c>
      <c r="AW41" s="77"/>
      <c r="AX41" s="77"/>
      <c r="AY41" s="79">
        <f>AY39-AY40*100/AY38</f>
        <v>53140416.67</v>
      </c>
      <c r="AZ41" s="77"/>
      <c r="BA41" s="77"/>
      <c r="BB41" s="79">
        <f>BB39-BB40*100/BB38</f>
        <v>-704946000</v>
      </c>
      <c r="BC41" s="77"/>
      <c r="BD41" s="77"/>
      <c r="BE41" s="79">
        <f>BE39-BE40*100/BE38</f>
        <v>-10805750</v>
      </c>
    </row>
    <row r="52">
      <c r="A52" s="80"/>
    </row>
  </sheetData>
  <mergeCells count="1">
    <mergeCell ref="A5:A6"/>
  </mergeCells>
  <dataValidations>
    <dataValidation type="list" allowBlank="1" sqref="A7">
      <formula1>EQ!$D$6:$BE$6</formula1>
    </dataValidation>
  </dataValidations>
  <hyperlinks>
    <hyperlink r:id="rId1" ref="A1"/>
    <hyperlink r:id="rId2" ref="A3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30.71"/>
  </cols>
  <sheetData>
    <row r="6">
      <c r="B6" s="1" t="s">
        <v>0</v>
      </c>
      <c r="C6" s="5" t="s">
        <v>2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</row>
    <row r="7">
      <c r="B7" s="8" t="s">
        <v>11</v>
      </c>
      <c r="C7" s="10">
        <v>316.0</v>
      </c>
      <c r="E7" s="13" t="s">
        <v>13</v>
      </c>
      <c r="F7" s="14">
        <v>3.0</v>
      </c>
      <c r="G7" s="14">
        <v>0.0</v>
      </c>
      <c r="H7" s="14">
        <v>15.0</v>
      </c>
      <c r="I7" s="14">
        <v>0.0</v>
      </c>
      <c r="J7" s="15">
        <v>54.0</v>
      </c>
      <c r="K7" s="15">
        <v>0.0</v>
      </c>
    </row>
    <row r="8">
      <c r="B8" s="8" t="s">
        <v>16</v>
      </c>
      <c r="C8" s="16">
        <v>505.0</v>
      </c>
      <c r="E8" s="17"/>
      <c r="F8" s="15">
        <v>0.0</v>
      </c>
      <c r="G8" s="15">
        <v>8.0</v>
      </c>
      <c r="H8" s="15">
        <v>0.0</v>
      </c>
      <c r="I8" s="15">
        <v>30.0</v>
      </c>
      <c r="J8" s="15">
        <v>0.0</v>
      </c>
      <c r="K8" s="15">
        <v>16.0</v>
      </c>
    </row>
    <row r="9">
      <c r="B9" s="8" t="s">
        <v>17</v>
      </c>
      <c r="C9" s="16">
        <v>600.0</v>
      </c>
      <c r="E9" s="17"/>
      <c r="F9" s="15">
        <v>1.0</v>
      </c>
      <c r="G9" s="15">
        <v>2.0</v>
      </c>
      <c r="H9" s="15">
        <v>0.0</v>
      </c>
      <c r="I9" s="15">
        <v>0.0</v>
      </c>
      <c r="J9" s="15">
        <v>0.0</v>
      </c>
      <c r="K9" s="15">
        <v>0.0</v>
      </c>
    </row>
    <row r="10">
      <c r="B10" s="8" t="s">
        <v>18</v>
      </c>
      <c r="C10" s="16">
        <v>2800.0</v>
      </c>
      <c r="E10" s="17"/>
      <c r="F10" s="15">
        <v>0.0</v>
      </c>
      <c r="G10" s="15">
        <v>0.0</v>
      </c>
      <c r="H10" s="15">
        <v>1.0</v>
      </c>
      <c r="I10" s="15">
        <v>2.0</v>
      </c>
      <c r="J10" s="15">
        <v>0.0</v>
      </c>
      <c r="K10" s="15">
        <v>0.0</v>
      </c>
    </row>
    <row r="11">
      <c r="B11" s="8" t="s">
        <v>20</v>
      </c>
      <c r="C11" s="16">
        <v>18888.0</v>
      </c>
      <c r="E11" s="17"/>
      <c r="F11" s="15">
        <v>0.0</v>
      </c>
      <c r="G11" s="15">
        <v>0.0</v>
      </c>
      <c r="H11" s="15">
        <v>0.0</v>
      </c>
      <c r="I11" s="15">
        <v>0.0</v>
      </c>
      <c r="J11" s="15">
        <v>1.0</v>
      </c>
      <c r="K11" s="15">
        <v>2.0</v>
      </c>
    </row>
    <row r="12">
      <c r="B12" s="8" t="s">
        <v>21</v>
      </c>
      <c r="C12" s="16">
        <v>80000.0</v>
      </c>
      <c r="E12" s="22"/>
      <c r="F12" s="25">
        <v>0.0</v>
      </c>
      <c r="G12" s="25">
        <v>0.0</v>
      </c>
      <c r="H12" s="25">
        <v>0.0</v>
      </c>
      <c r="I12" s="25">
        <v>0.0</v>
      </c>
      <c r="J12" s="25">
        <v>0.0</v>
      </c>
      <c r="K12" s="25">
        <v>0.0</v>
      </c>
    </row>
    <row r="13">
      <c r="E13" s="26" t="s">
        <v>24</v>
      </c>
      <c r="F13" s="27">
        <v>156.0</v>
      </c>
      <c r="G13" s="27">
        <v>100.0</v>
      </c>
      <c r="H13" s="27">
        <v>476.0</v>
      </c>
      <c r="I13" s="27">
        <v>200.0</v>
      </c>
      <c r="J13" s="28">
        <v>450.0</v>
      </c>
      <c r="K13" s="28">
        <v>100.0</v>
      </c>
    </row>
    <row r="14">
      <c r="E14" s="26" t="s">
        <v>25</v>
      </c>
      <c r="F14" s="27">
        <v>40.0</v>
      </c>
      <c r="G14" s="27">
        <v>60.0</v>
      </c>
      <c r="H14" s="27">
        <v>70.0</v>
      </c>
      <c r="I14" s="27">
        <v>120.0</v>
      </c>
      <c r="J14" s="28">
        <v>100.0</v>
      </c>
      <c r="K14" s="28">
        <v>180.0</v>
      </c>
    </row>
    <row r="15">
      <c r="E15" s="26" t="s">
        <v>26</v>
      </c>
      <c r="F15" s="29">
        <f t="shared" ref="F15:K15" si="1">(F7*$C$7+F8*$C$8+F9*$C$9+F10*$C$10+F11*$C$11+F12*$C$12)/F13</f>
        <v>9.923076923</v>
      </c>
      <c r="G15" s="29">
        <f t="shared" si="1"/>
        <v>52.4</v>
      </c>
      <c r="H15" s="29">
        <f t="shared" si="1"/>
        <v>15.84033613</v>
      </c>
      <c r="I15" s="29">
        <f t="shared" si="1"/>
        <v>103.75</v>
      </c>
      <c r="J15" s="29">
        <f t="shared" si="1"/>
        <v>79.89333333</v>
      </c>
      <c r="K15" s="29">
        <f t="shared" si="1"/>
        <v>458.56</v>
      </c>
    </row>
    <row r="16">
      <c r="E16" s="26" t="s">
        <v>27</v>
      </c>
      <c r="F16" s="30">
        <v>17.0</v>
      </c>
      <c r="G16" s="30">
        <v>60.0</v>
      </c>
      <c r="H16" s="30">
        <v>23.0</v>
      </c>
      <c r="I16" s="30">
        <v>122.0</v>
      </c>
      <c r="J16" s="30">
        <v>95.0</v>
      </c>
      <c r="K16" s="30">
        <v>500.0</v>
      </c>
    </row>
    <row r="17">
      <c r="E17" s="26" t="s">
        <v>28</v>
      </c>
      <c r="F17" s="29">
        <f t="shared" ref="F17:K17" si="2">F16-F15</f>
        <v>7.076923077</v>
      </c>
      <c r="G17" s="29">
        <f t="shared" si="2"/>
        <v>7.6</v>
      </c>
      <c r="H17" s="29">
        <f t="shared" si="2"/>
        <v>7.159663866</v>
      </c>
      <c r="I17" s="29">
        <f t="shared" si="2"/>
        <v>18.25</v>
      </c>
      <c r="J17" s="29">
        <f t="shared" si="2"/>
        <v>15.10666667</v>
      </c>
      <c r="K17" s="29">
        <f t="shared" si="2"/>
        <v>41.44</v>
      </c>
    </row>
    <row r="18">
      <c r="E18" s="28" t="s">
        <v>29</v>
      </c>
      <c r="F18">
        <f t="shared" ref="F18:K18" si="3">F17*F13</f>
        <v>1104</v>
      </c>
      <c r="G18">
        <f t="shared" si="3"/>
        <v>760</v>
      </c>
      <c r="H18">
        <f t="shared" si="3"/>
        <v>3408</v>
      </c>
      <c r="I18">
        <f t="shared" si="3"/>
        <v>3650</v>
      </c>
      <c r="J18">
        <f t="shared" si="3"/>
        <v>6798</v>
      </c>
      <c r="K18">
        <f t="shared" si="3"/>
        <v>4144</v>
      </c>
    </row>
    <row r="19">
      <c r="E19" s="32" t="s">
        <v>30</v>
      </c>
      <c r="F19" s="35">
        <f t="shared" ref="F19:K19" si="4">(1000/F14)*F13*F17</f>
        <v>27600</v>
      </c>
      <c r="G19" s="35">
        <f t="shared" si="4"/>
        <v>12666.66667</v>
      </c>
      <c r="H19" s="35">
        <f t="shared" si="4"/>
        <v>48685.71429</v>
      </c>
      <c r="I19" s="35">
        <f t="shared" si="4"/>
        <v>30416.66667</v>
      </c>
      <c r="J19" s="35">
        <f t="shared" si="4"/>
        <v>67980</v>
      </c>
      <c r="K19" s="35">
        <f t="shared" si="4"/>
        <v>23022.22222</v>
      </c>
    </row>
  </sheetData>
  <mergeCells count="1">
    <mergeCell ref="E7:E12"/>
  </mergeCells>
  <drawing r:id="rId1"/>
</worksheet>
</file>